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3.xml" ContentType="application/vnd.openxmlformats-officedocument.drawing+xml"/>
  <Override PartName="/xl/tables/table6.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4.xml" ContentType="application/vnd.openxmlformats-officedocument.drawing+xml"/>
  <Override PartName="/xl/tables/table7.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5.xml" ContentType="application/vnd.openxmlformats-officedocument.drawing+xml"/>
  <Override PartName="/xl/tables/table8.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6.xml" ContentType="application/vnd.openxmlformats-officedocument.drawing+xml"/>
  <Override PartName="/xl/tables/table9.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tables/table10.xml" ContentType="application/vnd.openxmlformats-officedocument.spreadsheetml.table+xml"/>
  <Override PartName="/xl/tables/table11.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tables/table12.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tables/table13.xml" ContentType="application/vnd.openxmlformats-officedocument.spreadsheetml.table+xml"/>
  <Override PartName="/xl/tables/table14.xml" ContentType="application/vnd.openxmlformats-officedocument.spreadsheetml.table+xml"/>
  <Override PartName="/xl/drawings/drawing9.xml" ContentType="application/vnd.openxmlformats-officedocument.drawing+xml"/>
  <Override PartName="/xl/tables/table15.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10.xml" ContentType="application/vnd.openxmlformats-officedocument.drawing+xml"/>
  <Override PartName="/xl/tables/table16.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11.xml" ContentType="application/vnd.openxmlformats-officedocument.drawing+xml"/>
  <Override PartName="/xl/tables/table17.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2.xml" ContentType="application/vnd.openxmlformats-officedocument.drawing+xml"/>
  <Override PartName="/xl/tables/table18.xml" ContentType="application/vnd.openxmlformats-officedocument.spreadsheetml.tab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C:\Users\Marja.Janusson\Desktop\Scenkonst\"/>
    </mc:Choice>
  </mc:AlternateContent>
  <xr:revisionPtr revIDLastSave="0" documentId="8_{24376453-1ED4-4541-A65B-6674EF4C7C7D}" xr6:coauthVersionLast="47" xr6:coauthVersionMax="47" xr10:uidLastSave="{00000000-0000-0000-0000-000000000000}"/>
  <bookViews>
    <workbookView xWindow="-103" yWindow="-103" windowWidth="23657" windowHeight="15240" tabRatio="932" xr2:uid="{E700C022-11A8-4AB6-B07C-86E10AD86DD4}"/>
  </bookViews>
  <sheets>
    <sheet name="Innehåll" sheetId="47" r:id="rId1"/>
    <sheet name="Bilaga 1 Scenkonstverksamheter" sheetId="16" r:id="rId2"/>
    <sheet name="T1 Organisation" sheetId="40" r:id="rId3"/>
    <sheet name="T2 Scenkonstområden" sheetId="21" r:id="rId4"/>
    <sheet name="F1 Scenkonst per kommun" sheetId="26" r:id="rId5"/>
    <sheet name="UnderlagF1&amp;F7 per kommun" sheetId="45" r:id="rId6"/>
    <sheet name="F2 Publik 2019 och 2020 " sheetId="28" r:id="rId7"/>
    <sheet name="F3 Publik 2020, varav barn" sheetId="29" r:id="rId8"/>
    <sheet name="F4 Föreställningar 19 20" sheetId="30" r:id="rId9"/>
    <sheet name="F5 Varav barn 2020" sheetId="39" r:id="rId10"/>
    <sheet name="F6 Scenkonstområden 2020" sheetId="31" r:id="rId11"/>
    <sheet name="T3Föreställningar per län 2020" sheetId="25" r:id="rId12"/>
    <sheet name="F7 Föreställningar kommun 2020" sheetId="32" r:id="rId13"/>
    <sheet name="F8 Digitala produktioner 2020" sheetId="22" r:id="rId14"/>
    <sheet name="T4 Digital distribution 19 20" sheetId="24" r:id="rId15"/>
    <sheet name="T5 Övriga aktiviteter 2020" sheetId="33" r:id="rId16"/>
    <sheet name="F9 Ekonomi 2019 och 2020" sheetId="41" r:id="rId17"/>
    <sheet name="F10 Intäkter per intäktsslag" sheetId="42" r:id="rId18"/>
    <sheet name="F11 Kostnader per kostnadsslag" sheetId="43" r:id="rId19"/>
    <sheet name="F12 Årsarbetskrafter 19 20" sheetId="44" r:id="rId20"/>
  </sheets>
  <definedNames>
    <definedName name="_xlnm._FilterDatabase" localSheetId="5" hidden="1">'UnderlagF1&amp;F7 per kommun'!$B$3:$G$292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95" i="45" l="1"/>
  <c r="B29" i="47"/>
  <c r="B28" i="47"/>
  <c r="B27" i="47"/>
  <c r="B26" i="47"/>
  <c r="B25" i="47"/>
  <c r="B24" i="47"/>
  <c r="B22" i="47"/>
  <c r="B21" i="47"/>
  <c r="B20" i="47"/>
  <c r="B19" i="47"/>
  <c r="B18" i="47"/>
  <c r="B17" i="47"/>
  <c r="B16" i="47"/>
  <c r="B15" i="47"/>
  <c r="B14" i="47"/>
  <c r="B13" i="47"/>
  <c r="B12" i="47"/>
  <c r="B8" i="47"/>
  <c r="D7" i="44"/>
  <c r="D8" i="44"/>
  <c r="B13" i="31" l="1"/>
  <c r="C13" i="31" s="1"/>
  <c r="E296" i="45" l="1"/>
  <c r="F296" i="45"/>
  <c r="G296" i="45"/>
  <c r="E295" i="45"/>
  <c r="F25" i="25" l="1"/>
  <c r="F12" i="43" l="1"/>
  <c r="F11" i="43"/>
  <c r="F10" i="43"/>
  <c r="F9" i="43"/>
  <c r="F8" i="43"/>
  <c r="F7" i="43"/>
  <c r="I12" i="42"/>
  <c r="I7" i="42"/>
  <c r="I8" i="42"/>
  <c r="I9" i="42"/>
  <c r="I10" i="42"/>
  <c r="I11" i="42"/>
  <c r="I7" i="40"/>
  <c r="I6" i="40"/>
  <c r="I5" i="40"/>
  <c r="I4" i="40"/>
  <c r="I3" i="40"/>
  <c r="B7" i="39"/>
  <c r="D7" i="30"/>
  <c r="B8" i="30"/>
  <c r="D8" i="30" s="1"/>
  <c r="B12" i="33"/>
  <c r="C12" i="33" s="1"/>
  <c r="B11" i="33"/>
  <c r="C11" i="33" s="1"/>
  <c r="B10" i="33"/>
  <c r="C10" i="33" s="1"/>
  <c r="B9" i="33"/>
  <c r="C9" i="33" s="1"/>
  <c r="B8" i="33"/>
  <c r="C8" i="33" s="1"/>
  <c r="B7" i="33"/>
  <c r="C7" i="33" s="1"/>
  <c r="B6" i="33"/>
  <c r="C6" i="33" s="1"/>
  <c r="B5" i="33"/>
  <c r="C5" i="33" s="1"/>
  <c r="C4" i="33"/>
  <c r="B4" i="33"/>
  <c r="B3" i="33"/>
  <c r="C3" i="33" s="1"/>
  <c r="B9" i="39" l="1"/>
  <c r="C7" i="39" s="1"/>
  <c r="B15" i="31"/>
  <c r="C7" i="29"/>
  <c r="C8" i="29"/>
  <c r="B9" i="29"/>
  <c r="C9" i="31" l="1"/>
  <c r="C12" i="31"/>
  <c r="C10" i="31"/>
  <c r="C11" i="31"/>
  <c r="C8" i="31"/>
  <c r="C7" i="31"/>
  <c r="B25" i="25" l="1"/>
  <c r="C25" i="25"/>
  <c r="D3" i="25"/>
  <c r="D4" i="25"/>
  <c r="D5" i="25"/>
  <c r="D6" i="25"/>
  <c r="D7" i="25"/>
  <c r="D8" i="25"/>
  <c r="D9" i="25"/>
  <c r="D10" i="25"/>
  <c r="D11" i="25"/>
  <c r="D12" i="25"/>
  <c r="D13" i="25"/>
  <c r="D14" i="25"/>
  <c r="D15" i="25"/>
  <c r="D16" i="25"/>
  <c r="D17" i="25"/>
  <c r="D18" i="25"/>
  <c r="D19" i="25"/>
  <c r="D20" i="25"/>
  <c r="D21" i="25"/>
  <c r="D22" i="25"/>
  <c r="D23" i="25"/>
  <c r="D24" i="25"/>
  <c r="C14" i="22"/>
  <c r="C13" i="22"/>
  <c r="C12" i="22"/>
  <c r="C11" i="22"/>
  <c r="C10" i="22"/>
  <c r="C9" i="22"/>
  <c r="C8" i="22"/>
  <c r="C7" i="22"/>
  <c r="D25" i="25" l="1"/>
  <c r="B13" i="21" l="1"/>
  <c r="C5" i="21" s="1"/>
  <c r="I51" i="16"/>
  <c r="C7" i="21" l="1"/>
  <c r="C10" i="21"/>
  <c r="C9" i="21"/>
  <c r="C3" i="21"/>
  <c r="C11" i="21"/>
  <c r="C6" i="21"/>
  <c r="C13" i="21"/>
  <c r="C4" i="21"/>
  <c r="C8" i="21"/>
  <c r="C12" i="21"/>
  <c r="H50" i="16"/>
  <c r="H38" i="16"/>
  <c r="H31" i="16"/>
  <c r="H77" i="16"/>
  <c r="H71" i="16"/>
  <c r="H70" i="16"/>
  <c r="H60" i="16"/>
  <c r="H59" i="16"/>
  <c r="H58" i="16"/>
  <c r="H57" i="16"/>
  <c r="H55" i="16"/>
  <c r="H53" i="16"/>
  <c r="H52" i="16"/>
  <c r="H29" i="16"/>
  <c r="H28" i="16"/>
  <c r="H27" i="16"/>
  <c r="H26" i="16"/>
  <c r="H25" i="16"/>
  <c r="H20" i="16"/>
  <c r="H21" i="16"/>
  <c r="H19" i="16"/>
  <c r="H13" i="16"/>
  <c r="H6" i="16"/>
  <c r="H5" i="16"/>
  <c r="J50" i="16"/>
  <c r="I50" i="16"/>
  <c r="H48" i="16"/>
  <c r="H78" i="16" l="1"/>
  <c r="E38" i="16" l="1"/>
  <c r="K78" i="16" l="1"/>
  <c r="J71" i="16" l="1"/>
  <c r="I71" i="16"/>
  <c r="J70" i="16"/>
  <c r="I70" i="16"/>
  <c r="J67" i="16"/>
  <c r="I67" i="16"/>
  <c r="J66" i="16"/>
  <c r="I66" i="16"/>
  <c r="I64" i="16"/>
  <c r="J63" i="16"/>
  <c r="I63" i="16"/>
  <c r="J77" i="16"/>
  <c r="I77" i="16"/>
  <c r="J76" i="16"/>
  <c r="I76" i="16"/>
  <c r="J73" i="16"/>
  <c r="I73" i="16"/>
  <c r="J72" i="16"/>
  <c r="I72" i="16"/>
  <c r="J61" i="16"/>
  <c r="J60" i="16"/>
  <c r="I60" i="16"/>
  <c r="J59" i="16"/>
  <c r="I59" i="16"/>
  <c r="J58" i="16"/>
  <c r="I58" i="16"/>
  <c r="J57" i="16"/>
  <c r="I57" i="16"/>
  <c r="J55" i="16"/>
  <c r="I55" i="16"/>
  <c r="J53" i="16"/>
  <c r="I53" i="16"/>
  <c r="J52" i="16"/>
  <c r="I52" i="16"/>
  <c r="J49" i="16"/>
  <c r="I49" i="16"/>
  <c r="J48" i="16"/>
  <c r="I48" i="16"/>
  <c r="J47" i="16"/>
  <c r="I47" i="16"/>
  <c r="J45" i="16"/>
  <c r="I45" i="16"/>
  <c r="I44" i="16"/>
  <c r="J40" i="16"/>
  <c r="I40" i="16"/>
  <c r="J36" i="16" l="1"/>
  <c r="I36" i="16"/>
  <c r="I34" i="16"/>
  <c r="I33" i="16"/>
  <c r="J32" i="16"/>
  <c r="I32" i="16"/>
  <c r="J31" i="16"/>
  <c r="I31" i="16"/>
  <c r="I30" i="16"/>
  <c r="J29" i="16"/>
  <c r="I29" i="16"/>
  <c r="J28" i="16"/>
  <c r="I28" i="16"/>
  <c r="J27" i="16"/>
  <c r="I27" i="16"/>
  <c r="J26" i="16"/>
  <c r="I26" i="16"/>
  <c r="J38" i="16"/>
  <c r="I38" i="16"/>
  <c r="I5" i="16"/>
  <c r="J25" i="16"/>
  <c r="I25" i="16"/>
  <c r="J20" i="16"/>
  <c r="I20" i="16"/>
  <c r="J21" i="16"/>
  <c r="I21" i="16"/>
  <c r="J19" i="16"/>
  <c r="I19" i="16"/>
  <c r="J17" i="16"/>
  <c r="I17" i="16"/>
  <c r="G78" i="16"/>
  <c r="F78" i="16"/>
  <c r="I16" i="16"/>
  <c r="I14" i="16"/>
  <c r="J16" i="16"/>
  <c r="J13" i="16"/>
  <c r="I13" i="16"/>
  <c r="J9" i="16"/>
  <c r="J6" i="16"/>
  <c r="I9" i="16"/>
  <c r="I6" i="16"/>
  <c r="J4" i="16"/>
  <c r="J5" i="16"/>
  <c r="I4" i="16"/>
  <c r="E78" i="16" l="1"/>
  <c r="J78" i="16"/>
  <c r="I78" i="16"/>
</calcChain>
</file>

<file path=xl/sharedStrings.xml><?xml version="1.0" encoding="utf-8"?>
<sst xmlns="http://schemas.openxmlformats.org/spreadsheetml/2006/main" count="1739" uniqueCount="916">
  <si>
    <t>Berwaldhallen</t>
  </si>
  <si>
    <t>Borås Stadsteater</t>
  </si>
  <si>
    <t>Byteatern Kalmar Länsteater</t>
  </si>
  <si>
    <t>Cirkus Cirkör AB</t>
  </si>
  <si>
    <t>Dalateatern</t>
  </si>
  <si>
    <t>Dans i Nord</t>
  </si>
  <si>
    <t>Dansens Hus</t>
  </si>
  <si>
    <t>Drottningholms Slottsteater</t>
  </si>
  <si>
    <t>Folkmusikens Hus</t>
  </si>
  <si>
    <t>Folkoperan AB</t>
  </si>
  <si>
    <t>Folkteatern Gävleborg</t>
  </si>
  <si>
    <t>Folkteatern Göteborg</t>
  </si>
  <si>
    <t>Gotlands Musikstiftelse</t>
  </si>
  <si>
    <t>Gävle Symfoniorkester</t>
  </si>
  <si>
    <t>Göteborg Wind Orchestra</t>
  </si>
  <si>
    <t>Göteborgs Stadsteater AB</t>
  </si>
  <si>
    <t>Göteborgs Symfoniker AB</t>
  </si>
  <si>
    <t>Göteborgs dans- och teaterfestival</t>
  </si>
  <si>
    <t>GöteborgsOperan AB</t>
  </si>
  <si>
    <t>Kalmar Läns Musikstiftelse</t>
  </si>
  <si>
    <t>Kultur Gävleborg</t>
  </si>
  <si>
    <t>Kungliga Dramatiska Teatern</t>
  </si>
  <si>
    <t>Kungliga Operan</t>
  </si>
  <si>
    <t>Länsmusiken i Örebro AB</t>
  </si>
  <si>
    <t>Länsteatern i Örebro AB</t>
  </si>
  <si>
    <t>Länsteatern på Gotland</t>
  </si>
  <si>
    <t>Malmö Live Konserthus AB/Malmö Symfoniorkester</t>
  </si>
  <si>
    <t>Malmö Opera och Musikteater AB</t>
  </si>
  <si>
    <t>Malmö Stadsteater AB</t>
  </si>
  <si>
    <t>Musik Hallandia</t>
  </si>
  <si>
    <t>Musik i Blekinge</t>
  </si>
  <si>
    <t>Musik i Dalarna</t>
  </si>
  <si>
    <t>Musik i Syd</t>
  </si>
  <si>
    <t>Musik i Uppland</t>
  </si>
  <si>
    <t>Nordcirkus</t>
  </si>
  <si>
    <t>Norrbottensmusiken</t>
  </si>
  <si>
    <t>Norrbottensteatern</t>
  </si>
  <si>
    <t>Norrlandsoperan AB</t>
  </si>
  <si>
    <t>Opera på Skäret</t>
  </si>
  <si>
    <t>Regionteater Väst AB</t>
  </si>
  <si>
    <t>Regionteatern Blekinge Kronoberg</t>
  </si>
  <si>
    <t>Rum för Dans</t>
  </si>
  <si>
    <t>Scenkonst Sörmland</t>
  </si>
  <si>
    <t>Scenkonst Västernorrland AB</t>
  </si>
  <si>
    <t>Scenkonst Öst AB</t>
  </si>
  <si>
    <t>Skånes Dansteater</t>
  </si>
  <si>
    <t>Smålands Musik och Teater</t>
  </si>
  <si>
    <t>Stadra Teater</t>
  </si>
  <si>
    <t>Stiftelsen Moomsteatern</t>
  </si>
  <si>
    <t>Stiftelsen Värmlandsoperan</t>
  </si>
  <si>
    <t>Stockholms Stadsteater</t>
  </si>
  <si>
    <t>Teater Halland</t>
  </si>
  <si>
    <t>Undantaget</t>
  </si>
  <si>
    <t>Unga Klara</t>
  </si>
  <si>
    <t>Uppsala Stadsteater AB</t>
  </si>
  <si>
    <t>Vara Konserthus AB</t>
  </si>
  <si>
    <t>Västanå Teater</t>
  </si>
  <si>
    <t>Västerbottensteatern AB</t>
  </si>
  <si>
    <t>Västmanlands teater</t>
  </si>
  <si>
    <t>Västmanlandsmusiken, Länsmusik</t>
  </si>
  <si>
    <t>Västmanlandsmusiken, Sinfoniettan</t>
  </si>
  <si>
    <t>Östgötamusiken</t>
  </si>
  <si>
    <t>Oktoberteatern</t>
  </si>
  <si>
    <t>Dala Floda Operafest</t>
  </si>
  <si>
    <t>Korda Dansproduktion</t>
  </si>
  <si>
    <t>Vattnäs Opera</t>
  </si>
  <si>
    <t>Egen scen</t>
  </si>
  <si>
    <t>Län</t>
  </si>
  <si>
    <t>Helsingborgs Stadsteater (Helsingborgs Arena och Scen AB)</t>
  </si>
  <si>
    <t>Helsingborgs Symfoniorkester (Helsingborgs Arena och Scen AB)</t>
  </si>
  <si>
    <t xml:space="preserve">Estrad Norr Musik och Dans </t>
  </si>
  <si>
    <t xml:space="preserve">Estrad Norr Musikteater </t>
  </si>
  <si>
    <t xml:space="preserve">Estrad Norr Teater </t>
  </si>
  <si>
    <t>Scenkonstområden</t>
  </si>
  <si>
    <t>Ja</t>
  </si>
  <si>
    <t>Musik</t>
  </si>
  <si>
    <t>Teater</t>
  </si>
  <si>
    <t>Dans</t>
  </si>
  <si>
    <t>Teater, dans</t>
  </si>
  <si>
    <t>Musikteater</t>
  </si>
  <si>
    <t>Nej</t>
  </si>
  <si>
    <t xml:space="preserve">Musik </t>
  </si>
  <si>
    <t>Teater, musikteater</t>
  </si>
  <si>
    <t>Musik, dans</t>
  </si>
  <si>
    <t>Summa</t>
  </si>
  <si>
    <t>Musik, musikteater</t>
  </si>
  <si>
    <t>Cirkus, övrig scenkonst</t>
  </si>
  <si>
    <t>Musik, teater, musikteater, dans</t>
  </si>
  <si>
    <t>Digitala produktioner 2020</t>
  </si>
  <si>
    <t>Scenkonstverksamheter</t>
  </si>
  <si>
    <t xml:space="preserve">Blekinge </t>
  </si>
  <si>
    <t>Blekinge och Kronoberg</t>
  </si>
  <si>
    <t>Gotland</t>
  </si>
  <si>
    <t>Dalarna</t>
  </si>
  <si>
    <t>Gävleborg</t>
  </si>
  <si>
    <t>Halland</t>
  </si>
  <si>
    <t>Jämtland</t>
  </si>
  <si>
    <t>Jönköping</t>
  </si>
  <si>
    <t>Kalmar</t>
  </si>
  <si>
    <t>Norrbotten</t>
  </si>
  <si>
    <t xml:space="preserve">Skåne </t>
  </si>
  <si>
    <t>Skåne och Kronoberg</t>
  </si>
  <si>
    <t>Stockholm</t>
  </si>
  <si>
    <t>Södermanland</t>
  </si>
  <si>
    <t xml:space="preserve">Uppsala </t>
  </si>
  <si>
    <t>Värmland</t>
  </si>
  <si>
    <t>Västerbotten</t>
  </si>
  <si>
    <t>Västernorrland</t>
  </si>
  <si>
    <t>Västmanland</t>
  </si>
  <si>
    <t>Västra Götaland</t>
  </si>
  <si>
    <t xml:space="preserve">Örebro </t>
  </si>
  <si>
    <t>Östergötland</t>
  </si>
  <si>
    <t>Cirkus</t>
  </si>
  <si>
    <t>Örebro</t>
  </si>
  <si>
    <t>Sverige</t>
  </si>
  <si>
    <t>Uppsala</t>
  </si>
  <si>
    <t>*</t>
  </si>
  <si>
    <t>Musikteater, dans och musik</t>
  </si>
  <si>
    <t>Teater, dans, musik</t>
  </si>
  <si>
    <t>Samtliga scenkonstområden</t>
  </si>
  <si>
    <t>Musikteater, musik</t>
  </si>
  <si>
    <t>Musikteater, musik, dans</t>
  </si>
  <si>
    <t>Teater, musik, musikteater</t>
  </si>
  <si>
    <t>Teater och dans</t>
  </si>
  <si>
    <t xml:space="preserve">Musikteater, dans </t>
  </si>
  <si>
    <t>Teater, musik, cirkus</t>
  </si>
  <si>
    <t>uppgift saknas</t>
  </si>
  <si>
    <t xml:space="preserve">*För Unga Klara och Cirkus Cirkör totalt antal egenproducerade  föreställningar på hemarena samt turné i Sverige och utomlands. </t>
  </si>
  <si>
    <t xml:space="preserve">** För Riksteatern redovisas totalt antal egenproducerade föreställningar i hela Sverige och turné avser föreställningar som spelats utomlands. </t>
  </si>
  <si>
    <t>Riksteatern**</t>
  </si>
  <si>
    <t>Antal scenkonstverksamheter</t>
  </si>
  <si>
    <t>Andel scenkonstverksamheter</t>
  </si>
  <si>
    <t>Samtida cirkus</t>
  </si>
  <si>
    <t>Fler än två scenkonstområden</t>
  </si>
  <si>
    <t>Totalt</t>
  </si>
  <si>
    <t>Musik och dans</t>
  </si>
  <si>
    <t>Musikteater och dans</t>
  </si>
  <si>
    <t>Musik och musikteater</t>
  </si>
  <si>
    <t xml:space="preserve">Teater   </t>
  </si>
  <si>
    <t>Antal digitala produktioner</t>
  </si>
  <si>
    <t>Andel digitala produktioner</t>
  </si>
  <si>
    <t>Två scenkonstområden</t>
  </si>
  <si>
    <t xml:space="preserve">Musikteater </t>
  </si>
  <si>
    <t>Digital distribution</t>
  </si>
  <si>
    <t>Livesändning via internet</t>
  </si>
  <si>
    <t>Livesändning till avgränsad fysisk miljö (till exempel biograf, vårdinstitution, bibliotek)</t>
  </si>
  <si>
    <t>Tillgängliggörande av inspelad konsert/föreställning i efterhand via digital kanal (t.ex. streamingtjänst)</t>
  </si>
  <si>
    <t>Efterhandsvisning av inspelad konsert/föreställning i avgränsad fysisk miljö (till exempel biograf, vårdinstitution, bibliotek)</t>
  </si>
  <si>
    <t>Radio</t>
  </si>
  <si>
    <t>TV</t>
  </si>
  <si>
    <t>Annat</t>
  </si>
  <si>
    <t>Scenkonstverksamheter 2019</t>
  </si>
  <si>
    <t>Scenkonstverksamheter 2020</t>
  </si>
  <si>
    <t>Gästspel</t>
  </si>
  <si>
    <t>Blekinge län</t>
  </si>
  <si>
    <t>Dalarnas län</t>
  </si>
  <si>
    <t>Gotlands län</t>
  </si>
  <si>
    <t>Gävleborgs län</t>
  </si>
  <si>
    <t>Hallands län</t>
  </si>
  <si>
    <t>Jämtlands län</t>
  </si>
  <si>
    <t>Jönköpings län</t>
  </si>
  <si>
    <t>Kalmar län</t>
  </si>
  <si>
    <t>Kronobergs län</t>
  </si>
  <si>
    <t>Norrbottens län</t>
  </si>
  <si>
    <t>Skåne län</t>
  </si>
  <si>
    <t>Stockholms län</t>
  </si>
  <si>
    <t>Södermanlands län</t>
  </si>
  <si>
    <t>Uppsala län</t>
  </si>
  <si>
    <t>Värmlands län</t>
  </si>
  <si>
    <t>Västerbottens län</t>
  </si>
  <si>
    <t>Västernorrlands län</t>
  </si>
  <si>
    <t>Västmanlands län</t>
  </si>
  <si>
    <t>Västra Götalands län</t>
  </si>
  <si>
    <t>Örebro län</t>
  </si>
  <si>
    <t>Östergötlands län</t>
  </si>
  <si>
    <t>Uppgifter om kommun saknas</t>
  </si>
  <si>
    <t>Egen- och samproduktion</t>
  </si>
  <si>
    <t>Antal per 1000 invånare</t>
  </si>
  <si>
    <t>Totalt antal föreställningar/konserter</t>
  </si>
  <si>
    <t>År</t>
  </si>
  <si>
    <t>Publik</t>
  </si>
  <si>
    <t>Barn</t>
  </si>
  <si>
    <t>Antal</t>
  </si>
  <si>
    <t>Procent</t>
  </si>
  <si>
    <t xml:space="preserve">Kommentar: Figuren inkluderar data från 74 scenkonstverksamheter som besvarade enkäten 2020. Det saknas uppgifter om publik för fyra scenkonstverksamheter 2019. </t>
  </si>
  <si>
    <t xml:space="preserve">Kommentar: Figuren inkluderar data från 74 scenkonstverksamheter som besvarade enkäten 2020. </t>
  </si>
  <si>
    <t xml:space="preserve">Antal </t>
  </si>
  <si>
    <t xml:space="preserve">Andel </t>
  </si>
  <si>
    <t>Övrig scenkonst</t>
  </si>
  <si>
    <t>Kommentar: Figuren inkluderar data från 74 scenkonstverksamheter som besvarade enkäten 2020. Figuren inkluderar inte 624 föreställningar/konserter på turné utanför egen region där uppgift om scenkonstområde saknas.</t>
  </si>
  <si>
    <t>Övriga aktiviteter</t>
  </si>
  <si>
    <t>Antal scenkonstinstitutioner</t>
  </si>
  <si>
    <t>Andel scenkonstinstitutioner</t>
  </si>
  <si>
    <t>Introduktion/eftersamtal till föreställning/konsert</t>
  </si>
  <si>
    <t>Visningar/guidningar</t>
  </si>
  <si>
    <t>Öppna repetitioner/ provföreställningar/showcases</t>
  </si>
  <si>
    <t>Öppna föreställningar/konserter/ performance utan biljettförsäljning eller föranmälan, t.ex i offentlig miljö</t>
  </si>
  <si>
    <t>Föreställningar/konserter av och med amatörer</t>
  </si>
  <si>
    <t>Enstaka skapande aktiviteter, t.ex. Workshops/prova-på- aktiviteter</t>
  </si>
  <si>
    <t>Återkommande skapande verksamhet, t.ex. kurser, studiecirklar, amatörensembler</t>
  </si>
  <si>
    <t>Föredrag/seminarier/debatter/publika samtal</t>
  </si>
  <si>
    <t>Utställningar</t>
  </si>
  <si>
    <t>Tabell 5: Övriga aktiviteter  2020, antal och andel scenkonstinstitutioner</t>
  </si>
  <si>
    <t xml:space="preserve"> </t>
  </si>
  <si>
    <t>Total publik 2020</t>
  </si>
  <si>
    <t xml:space="preserve">Kommentar: Figuren inkluderar data från 71 scenkonstverksamheter som besvarade frågan om antalet barn i publiken 2020. </t>
  </si>
  <si>
    <t>Huvudman</t>
  </si>
  <si>
    <t>Regional</t>
  </si>
  <si>
    <t xml:space="preserve">Kommunal </t>
  </si>
  <si>
    <t>Stiftelse</t>
  </si>
  <si>
    <t>Ideell förening</t>
  </si>
  <si>
    <t>Ekonomisk förening</t>
  </si>
  <si>
    <t>Företag</t>
  </si>
  <si>
    <t>Annan</t>
  </si>
  <si>
    <t>Statlig huvudman</t>
  </si>
  <si>
    <t>Regional huvudman</t>
  </si>
  <si>
    <t>Kommunal huvudman</t>
  </si>
  <si>
    <t>Annan huvudman, där offentlig instans utser styrelsen*</t>
  </si>
  <si>
    <t>Övriga huvudmän</t>
  </si>
  <si>
    <t xml:space="preserve">Kommentar: Figuren inkluderar data från de 56 scenkonstverksamheter som haft digitala produktioner under 2020. Uppgift saknas för antalet digitala produktioner per scenkonstområde för de scenkonstverksamheter som bedriver verksamhet inom flera scenkonstområden, totalt uppgår antalet digitala produktioner till 323 för dessa verksamheter.  </t>
  </si>
  <si>
    <t>Kommentar: Figuren inkluderar data från 74 scenkonstverksamheter som besvarade enkäten 2020 och 70 scenkonstverksamheter som besvarade enkäten 2019. Scenkonstverksamheterna kryssade i de distributionssätt som var aktuella under året och flera alternativ kunde väljas.</t>
  </si>
  <si>
    <t>Kommentar: Figuren inkluderar data från 74 scenkonstverksamheter som besvarade enkäten 2020 Scenkonstverksamheterna kryssade i de övriga aktiviteter som genomförts under året och flera alternativ kunde väljas.</t>
  </si>
  <si>
    <t>Intäkter, miljoner kr</t>
  </si>
  <si>
    <t>Kostnader, miljoner kr</t>
  </si>
  <si>
    <t>Kommentar: Figuren inkluderar data från 69 scenkonstverksamheter som besvarat frågorna om intäkter och kostnader 2019 och 2020.</t>
  </si>
  <si>
    <t>Andelar 2020</t>
  </si>
  <si>
    <t>Kommunala bidrag</t>
  </si>
  <si>
    <t>Regionala bidrag</t>
  </si>
  <si>
    <t>Statliga bidrag</t>
  </si>
  <si>
    <t>Övriga bidrag</t>
  </si>
  <si>
    <t>Verksamhetsintäkter</t>
  </si>
  <si>
    <t>Sponsring och donationer</t>
  </si>
  <si>
    <t>Övriga Intäkter</t>
  </si>
  <si>
    <t>Annan huvudman</t>
  </si>
  <si>
    <t>Totalt 2020</t>
  </si>
  <si>
    <t>Totalt 2019</t>
  </si>
  <si>
    <t>Andel 2020</t>
  </si>
  <si>
    <t>Personalkostnader</t>
  </si>
  <si>
    <t>Lokalkostnader</t>
  </si>
  <si>
    <t>Andra verksamhetskostnader</t>
  </si>
  <si>
    <t>Finansiella kostnader och avskrivningar</t>
  </si>
  <si>
    <t>kvinnor</t>
  </si>
  <si>
    <t>män</t>
  </si>
  <si>
    <t>Kommentar: Figuren inkluderar data från 67 scenkonstverksamheter som besvarat frågan om årsarbetskrafter 2019 och 2020.</t>
  </si>
  <si>
    <r>
      <t xml:space="preserve">Kommentar: Figuren inkluderar data från </t>
    </r>
    <r>
      <rPr>
        <sz val="9"/>
        <rFont val="Times New Roman"/>
        <family val="1"/>
      </rPr>
      <t>68 sc</t>
    </r>
    <r>
      <rPr>
        <sz val="9"/>
        <color theme="1"/>
        <rFont val="Times New Roman"/>
        <family val="1"/>
      </rPr>
      <t xml:space="preserve">enkonstverksamheter som besvarat frågan om intäkter per intäktsslag 2019 och 2020. </t>
    </r>
  </si>
  <si>
    <r>
      <t xml:space="preserve">Kommentar: Figuren inkluderar data från </t>
    </r>
    <r>
      <rPr>
        <sz val="9"/>
        <rFont val="Times New Roman"/>
        <family val="1"/>
      </rPr>
      <t>68</t>
    </r>
    <r>
      <rPr>
        <sz val="9"/>
        <color theme="1"/>
        <rFont val="Times New Roman"/>
        <family val="1"/>
      </rPr>
      <t xml:space="preserve"> scenkonstverksamheter som besvarat frågan om kostnader per kostnadsslag 2019 och 2020. </t>
    </r>
  </si>
  <si>
    <t>Kommunkod</t>
  </si>
  <si>
    <t>Kommun namn</t>
  </si>
  <si>
    <t>Länskod</t>
  </si>
  <si>
    <t>Län namn</t>
  </si>
  <si>
    <t>Kommuner 2019</t>
  </si>
  <si>
    <t>1080</t>
  </si>
  <si>
    <t>Karlskrona</t>
  </si>
  <si>
    <t>10</t>
  </si>
  <si>
    <t>1082</t>
  </si>
  <si>
    <t>Karlshamn</t>
  </si>
  <si>
    <t>1060</t>
  </si>
  <si>
    <t>Olofström</t>
  </si>
  <si>
    <t>1081</t>
  </si>
  <si>
    <t>Ronneby</t>
  </si>
  <si>
    <t>1083</t>
  </si>
  <si>
    <t>Sölvesborg</t>
  </si>
  <si>
    <t>2080</t>
  </si>
  <si>
    <t>Falun</t>
  </si>
  <si>
    <t>20</t>
  </si>
  <si>
    <t>2081</t>
  </si>
  <si>
    <t>Borlänge</t>
  </si>
  <si>
    <t>2031</t>
  </si>
  <si>
    <t>Rättvik</t>
  </si>
  <si>
    <t>2039</t>
  </si>
  <si>
    <t>Älvdalen</t>
  </si>
  <si>
    <t>2085</t>
  </si>
  <si>
    <t>Ludvika</t>
  </si>
  <si>
    <t>2083</t>
  </si>
  <si>
    <t>Hedemora</t>
  </si>
  <si>
    <t>2021</t>
  </si>
  <si>
    <t>Vansbro</t>
  </si>
  <si>
    <t>2062</t>
  </si>
  <si>
    <t>Mora</t>
  </si>
  <si>
    <t>2082</t>
  </si>
  <si>
    <t>Säter</t>
  </si>
  <si>
    <t>2084</t>
  </si>
  <si>
    <t>Avesta</t>
  </si>
  <si>
    <t>2034</t>
  </si>
  <si>
    <t>Orsa</t>
  </si>
  <si>
    <t>2061</t>
  </si>
  <si>
    <t>Smedjebacken</t>
  </si>
  <si>
    <t>2029</t>
  </si>
  <si>
    <t>Leksand</t>
  </si>
  <si>
    <t>2023</t>
  </si>
  <si>
    <t>Malung-Sälen</t>
  </si>
  <si>
    <t>2026</t>
  </si>
  <si>
    <t>Gagnef</t>
  </si>
  <si>
    <t>0980</t>
  </si>
  <si>
    <t>09</t>
  </si>
  <si>
    <t>2180</t>
  </si>
  <si>
    <t>Gävle</t>
  </si>
  <si>
    <t>21</t>
  </si>
  <si>
    <t>2161</t>
  </si>
  <si>
    <t>Ljusdal</t>
  </si>
  <si>
    <t>2184</t>
  </si>
  <si>
    <t>Hudiksvall</t>
  </si>
  <si>
    <t>2182</t>
  </si>
  <si>
    <t>Söderhamn</t>
  </si>
  <si>
    <t>2183</t>
  </si>
  <si>
    <t>Bollnäs</t>
  </si>
  <si>
    <t>2121</t>
  </si>
  <si>
    <t>Ovanåker</t>
  </si>
  <si>
    <t>2181</t>
  </si>
  <si>
    <t>Sandviken</t>
  </si>
  <si>
    <t>2104</t>
  </si>
  <si>
    <t>Hofors</t>
  </si>
  <si>
    <t>2132</t>
  </si>
  <si>
    <t>Nordanstig</t>
  </si>
  <si>
    <t>2101</t>
  </si>
  <si>
    <t>Ockelbo</t>
  </si>
  <si>
    <t>1383</t>
  </si>
  <si>
    <t>Varberg</t>
  </si>
  <si>
    <t>13</t>
  </si>
  <si>
    <t>1380</t>
  </si>
  <si>
    <t>Halmstad</t>
  </si>
  <si>
    <t>1384</t>
  </si>
  <si>
    <t>Kungsbacka</t>
  </si>
  <si>
    <t>1381</t>
  </si>
  <si>
    <t>Laholm</t>
  </si>
  <si>
    <t>1382</t>
  </si>
  <si>
    <t>Falkenberg</t>
  </si>
  <si>
    <t>1315</t>
  </si>
  <si>
    <t>Hylte</t>
  </si>
  <si>
    <t>2380</t>
  </si>
  <si>
    <t>Östersund</t>
  </si>
  <si>
    <t>23</t>
  </si>
  <si>
    <t>2309</t>
  </si>
  <si>
    <t>Krokom</t>
  </si>
  <si>
    <t>2313</t>
  </si>
  <si>
    <t>Strömsund</t>
  </si>
  <si>
    <t>2321</t>
  </si>
  <si>
    <t>Åre</t>
  </si>
  <si>
    <t>2305</t>
  </si>
  <si>
    <t>Bräcke</t>
  </si>
  <si>
    <t>2361</t>
  </si>
  <si>
    <t>Härjedalen</t>
  </si>
  <si>
    <t>2326</t>
  </si>
  <si>
    <t>Berg</t>
  </si>
  <si>
    <t>2303</t>
  </si>
  <si>
    <t>Ragunda</t>
  </si>
  <si>
    <t>0680</t>
  </si>
  <si>
    <t>06</t>
  </si>
  <si>
    <t>0682</t>
  </si>
  <si>
    <t>Nässjö</t>
  </si>
  <si>
    <t>0683</t>
  </si>
  <si>
    <t>Värnamo</t>
  </si>
  <si>
    <t>0684</t>
  </si>
  <si>
    <t>Sävsjö</t>
  </si>
  <si>
    <t>0617</t>
  </si>
  <si>
    <t>Gnosjö</t>
  </si>
  <si>
    <t>0665</t>
  </si>
  <si>
    <t>Vaggeryd</t>
  </si>
  <si>
    <t>0687</t>
  </si>
  <si>
    <t>Tranås</t>
  </si>
  <si>
    <t>0685</t>
  </si>
  <si>
    <t>Vetlanda</t>
  </si>
  <si>
    <t>0686</t>
  </si>
  <si>
    <t>Eksjö</t>
  </si>
  <si>
    <t>0662</t>
  </si>
  <si>
    <t>Gislaved</t>
  </si>
  <si>
    <t>0642</t>
  </si>
  <si>
    <t>Mullsjö</t>
  </si>
  <si>
    <t>0643</t>
  </si>
  <si>
    <t>Habo</t>
  </si>
  <si>
    <t>0604</t>
  </si>
  <si>
    <t>Aneby</t>
  </si>
  <si>
    <t>0880</t>
  </si>
  <si>
    <t>08</t>
  </si>
  <si>
    <t>0882</t>
  </si>
  <si>
    <t>Oskarshamn</t>
  </si>
  <si>
    <t>0834</t>
  </si>
  <si>
    <t>Torsås</t>
  </si>
  <si>
    <t>0881</t>
  </si>
  <si>
    <t>Nybro</t>
  </si>
  <si>
    <t>0860</t>
  </si>
  <si>
    <t>Hultsfred</t>
  </si>
  <si>
    <t>0883</t>
  </si>
  <si>
    <t>Västervik</t>
  </si>
  <si>
    <t>0840</t>
  </si>
  <si>
    <t>Mörbylånga</t>
  </si>
  <si>
    <t>0885</t>
  </si>
  <si>
    <t>Borgholm</t>
  </si>
  <si>
    <t>0861</t>
  </si>
  <si>
    <t>Mönsterås</t>
  </si>
  <si>
    <t>0862</t>
  </si>
  <si>
    <t>Emmaboda</t>
  </si>
  <si>
    <t>0821</t>
  </si>
  <si>
    <t>Högsby</t>
  </si>
  <si>
    <t>0884</t>
  </si>
  <si>
    <t>Vimmerby</t>
  </si>
  <si>
    <t>0780</t>
  </si>
  <si>
    <t>Växjö</t>
  </si>
  <si>
    <t>07</t>
  </si>
  <si>
    <t>0761</t>
  </si>
  <si>
    <t>Lessebo</t>
  </si>
  <si>
    <t>0760</t>
  </si>
  <si>
    <t>Uppvidinge</t>
  </si>
  <si>
    <t>0763</t>
  </si>
  <si>
    <t>Tingsryd</t>
  </si>
  <si>
    <t>0781</t>
  </si>
  <si>
    <t>Ljungby</t>
  </si>
  <si>
    <t>0764</t>
  </si>
  <si>
    <t>Alvesta</t>
  </si>
  <si>
    <t>0767</t>
  </si>
  <si>
    <t>Markaryd</t>
  </si>
  <si>
    <t>0765</t>
  </si>
  <si>
    <t>Älmhult</t>
  </si>
  <si>
    <t>2580</t>
  </si>
  <si>
    <t>Luleå</t>
  </si>
  <si>
    <t>25</t>
  </si>
  <si>
    <t>2581</t>
  </si>
  <si>
    <t>Piteå</t>
  </si>
  <si>
    <t>2582</t>
  </si>
  <si>
    <t>Boden</t>
  </si>
  <si>
    <t>2521</t>
  </si>
  <si>
    <t>Pajala</t>
  </si>
  <si>
    <t>2523</t>
  </si>
  <si>
    <t>Gällivare</t>
  </si>
  <si>
    <t>2584</t>
  </si>
  <si>
    <t>Kiruna</t>
  </si>
  <si>
    <t>2510</t>
  </si>
  <si>
    <t>Jokkmokk</t>
  </si>
  <si>
    <t>2583</t>
  </si>
  <si>
    <t>Haparanda</t>
  </si>
  <si>
    <t>2505</t>
  </si>
  <si>
    <t>Arvidsjaur</t>
  </si>
  <si>
    <t>2514</t>
  </si>
  <si>
    <t>Kalix</t>
  </si>
  <si>
    <t>2518</t>
  </si>
  <si>
    <t>Övertorneå</t>
  </si>
  <si>
    <t>2560</t>
  </si>
  <si>
    <t>Älvsbyn</t>
  </si>
  <si>
    <t>2513</t>
  </si>
  <si>
    <t>Överkalix</t>
  </si>
  <si>
    <t>2506</t>
  </si>
  <si>
    <t>Arjeplog</t>
  </si>
  <si>
    <t>1280</t>
  </si>
  <si>
    <t>Malmö</t>
  </si>
  <si>
    <t>12</t>
  </si>
  <si>
    <t>1290</t>
  </si>
  <si>
    <t>Kristianstad</t>
  </si>
  <si>
    <t>1283</t>
  </si>
  <si>
    <t>Helsingborg</t>
  </si>
  <si>
    <t>1263</t>
  </si>
  <si>
    <t>Svedala</t>
  </si>
  <si>
    <t>1281</t>
  </si>
  <si>
    <t>Lund</t>
  </si>
  <si>
    <t>1286</t>
  </si>
  <si>
    <t>Ystad</t>
  </si>
  <si>
    <t>1287</t>
  </si>
  <si>
    <t>Trelleborg</t>
  </si>
  <si>
    <t>1233</t>
  </si>
  <si>
    <t>Vellinge</t>
  </si>
  <si>
    <t>1293</t>
  </si>
  <si>
    <t>Hässleholm</t>
  </si>
  <si>
    <t>1292</t>
  </si>
  <si>
    <t>Ängelholm</t>
  </si>
  <si>
    <t>1261</t>
  </si>
  <si>
    <t>Kävlinge</t>
  </si>
  <si>
    <t>1282</t>
  </si>
  <si>
    <t>Landskrona</t>
  </si>
  <si>
    <t>1273</t>
  </si>
  <si>
    <t>Osby</t>
  </si>
  <si>
    <t>1267</t>
  </si>
  <si>
    <t>Höör</t>
  </si>
  <si>
    <t>1231</t>
  </si>
  <si>
    <t>Burlöv</t>
  </si>
  <si>
    <t>1278</t>
  </si>
  <si>
    <t>Båstad</t>
  </si>
  <si>
    <t>1262</t>
  </si>
  <si>
    <t>Lomma</t>
  </si>
  <si>
    <t>1285</t>
  </si>
  <si>
    <t>Eslöv</t>
  </si>
  <si>
    <t>1284</t>
  </si>
  <si>
    <t>Höganäs</t>
  </si>
  <si>
    <t>1272</t>
  </si>
  <si>
    <t>Bromölla</t>
  </si>
  <si>
    <t>1214</t>
  </si>
  <si>
    <t>Svalöv</t>
  </si>
  <si>
    <t>1291</t>
  </si>
  <si>
    <t>Simrishamn</t>
  </si>
  <si>
    <t>1277</t>
  </si>
  <si>
    <t>Åstorp</t>
  </si>
  <si>
    <t>1230</t>
  </si>
  <si>
    <t>Staffanstorp</t>
  </si>
  <si>
    <t>1265</t>
  </si>
  <si>
    <t>Sjöbo</t>
  </si>
  <si>
    <t>1270</t>
  </si>
  <si>
    <t>Tomelilla</t>
  </si>
  <si>
    <t>1257</t>
  </si>
  <si>
    <t>Örkelljunga</t>
  </si>
  <si>
    <t>1266</t>
  </si>
  <si>
    <t>Hörby</t>
  </si>
  <si>
    <t>1256</t>
  </si>
  <si>
    <t>Östra Göinge</t>
  </si>
  <si>
    <t>1275</t>
  </si>
  <si>
    <t>Perstorp</t>
  </si>
  <si>
    <t>1264</t>
  </si>
  <si>
    <t>Skurup</t>
  </si>
  <si>
    <t>1260</t>
  </si>
  <si>
    <t>Bjuv</t>
  </si>
  <si>
    <t>1276</t>
  </si>
  <si>
    <t>Klippan</t>
  </si>
  <si>
    <t>0180</t>
  </si>
  <si>
    <t>01</t>
  </si>
  <si>
    <t>0127</t>
  </si>
  <si>
    <t>Botkyrka</t>
  </si>
  <si>
    <t>0181</t>
  </si>
  <si>
    <t>Södertälje</t>
  </si>
  <si>
    <t>0136</t>
  </si>
  <si>
    <t>Haninge</t>
  </si>
  <si>
    <t>0184</t>
  </si>
  <si>
    <t>Solna</t>
  </si>
  <si>
    <t>0120</t>
  </si>
  <si>
    <t>Värmdö</t>
  </si>
  <si>
    <t>0183</t>
  </si>
  <si>
    <t>Sundbyberg</t>
  </si>
  <si>
    <t>0139</t>
  </si>
  <si>
    <t>Upplands-Bro</t>
  </si>
  <si>
    <t>0192</t>
  </si>
  <si>
    <t>Nynäshamn</t>
  </si>
  <si>
    <t>0123</t>
  </si>
  <si>
    <t>Järfälla</t>
  </si>
  <si>
    <t>0160</t>
  </si>
  <si>
    <t>Täby</t>
  </si>
  <si>
    <t>0114</t>
  </si>
  <si>
    <t>Upplands Väsby</t>
  </si>
  <si>
    <t>0128</t>
  </si>
  <si>
    <t>Salem</t>
  </si>
  <si>
    <t>0115</t>
  </si>
  <si>
    <t>Vallentuna</t>
  </si>
  <si>
    <t>0126</t>
  </si>
  <si>
    <t>Huddinge</t>
  </si>
  <si>
    <t>0188</t>
  </si>
  <si>
    <t>Norrtälje</t>
  </si>
  <si>
    <t>0117</t>
  </si>
  <si>
    <t>Österåker</t>
  </si>
  <si>
    <t>0162</t>
  </si>
  <si>
    <t>Danderyd</t>
  </si>
  <si>
    <t>0182</t>
  </si>
  <si>
    <t>Nacka</t>
  </si>
  <si>
    <t>0140</t>
  </si>
  <si>
    <t>Nykvarn</t>
  </si>
  <si>
    <t>0138</t>
  </si>
  <si>
    <t>Tyresö</t>
  </si>
  <si>
    <t>0191</t>
  </si>
  <si>
    <t>Sigtuna</t>
  </si>
  <si>
    <t>0163</t>
  </si>
  <si>
    <t>Sollentuna</t>
  </si>
  <si>
    <t>0125</t>
  </si>
  <si>
    <t>Ekerö</t>
  </si>
  <si>
    <t>0186</t>
  </si>
  <si>
    <t>Lidingö</t>
  </si>
  <si>
    <t>0187</t>
  </si>
  <si>
    <t>Vaxholm</t>
  </si>
  <si>
    <t>0484</t>
  </si>
  <si>
    <t>Eskilstuna</t>
  </si>
  <si>
    <t>04</t>
  </si>
  <si>
    <t>0483</t>
  </si>
  <si>
    <t>Katrineholm</t>
  </si>
  <si>
    <t>0480</t>
  </si>
  <si>
    <t>Nyköping</t>
  </si>
  <si>
    <t>0486</t>
  </si>
  <si>
    <t>Strängnäs</t>
  </si>
  <si>
    <t>0482</t>
  </si>
  <si>
    <t>Flen</t>
  </si>
  <si>
    <t>0461</t>
  </si>
  <si>
    <t>Gnesta</t>
  </si>
  <si>
    <t>0488</t>
  </si>
  <si>
    <t>Trosa</t>
  </si>
  <si>
    <t>0428</t>
  </si>
  <si>
    <t>Vingåker</t>
  </si>
  <si>
    <t>0481</t>
  </si>
  <si>
    <t>Oxelösund</t>
  </si>
  <si>
    <t>0380</t>
  </si>
  <si>
    <t>03</t>
  </si>
  <si>
    <t>0381</t>
  </si>
  <si>
    <t>Enköping</t>
  </si>
  <si>
    <t>0382</t>
  </si>
  <si>
    <t>Östhammar</t>
  </si>
  <si>
    <t>0360</t>
  </si>
  <si>
    <t>Tierp</t>
  </si>
  <si>
    <t>0305</t>
  </si>
  <si>
    <t>Håbo</t>
  </si>
  <si>
    <t>0330</t>
  </si>
  <si>
    <t>Knivsta</t>
  </si>
  <si>
    <t>0319</t>
  </si>
  <si>
    <t>Älvkarleby</t>
  </si>
  <si>
    <t>0331</t>
  </si>
  <si>
    <t>Heby</t>
  </si>
  <si>
    <t>1780</t>
  </si>
  <si>
    <t>Karlstad</t>
  </si>
  <si>
    <t>17</t>
  </si>
  <si>
    <t>1766</t>
  </si>
  <si>
    <t>Sunne</t>
  </si>
  <si>
    <t>1715</t>
  </si>
  <si>
    <t>Kil</t>
  </si>
  <si>
    <t>1761</t>
  </si>
  <si>
    <t>Hammarö</t>
  </si>
  <si>
    <t>1783</t>
  </si>
  <si>
    <t>Hagfors</t>
  </si>
  <si>
    <t>1785</t>
  </si>
  <si>
    <t>Säffle</t>
  </si>
  <si>
    <t>1784</t>
  </si>
  <si>
    <t>Arvika</t>
  </si>
  <si>
    <t>1782</t>
  </si>
  <si>
    <t>Filipstad</t>
  </si>
  <si>
    <t>1764</t>
  </si>
  <si>
    <t>Grums</t>
  </si>
  <si>
    <t>1781</t>
  </si>
  <si>
    <t>Kristinehamn</t>
  </si>
  <si>
    <t>1737</t>
  </si>
  <si>
    <t>Torsby</t>
  </si>
  <si>
    <t>1763</t>
  </si>
  <si>
    <t>Forshaga</t>
  </si>
  <si>
    <t>1765</t>
  </si>
  <si>
    <t>Årjäng</t>
  </si>
  <si>
    <t>1730</t>
  </si>
  <si>
    <t>Eda</t>
  </si>
  <si>
    <t>1762</t>
  </si>
  <si>
    <t>Munkfors</t>
  </si>
  <si>
    <t>1760</t>
  </si>
  <si>
    <t>Storfors</t>
  </si>
  <si>
    <t>2480</t>
  </si>
  <si>
    <t>Umeå</t>
  </si>
  <si>
    <t>24</t>
  </si>
  <si>
    <t>2482</t>
  </si>
  <si>
    <t>Skellefteå</t>
  </si>
  <si>
    <t>2462</t>
  </si>
  <si>
    <t>Vilhelmina</t>
  </si>
  <si>
    <t>2481</t>
  </si>
  <si>
    <t>Lycksele</t>
  </si>
  <si>
    <t>2425</t>
  </si>
  <si>
    <t>Dorotea</t>
  </si>
  <si>
    <t>2421</t>
  </si>
  <si>
    <t>Storuman</t>
  </si>
  <si>
    <t>2401</t>
  </si>
  <si>
    <t>Nordmaling</t>
  </si>
  <si>
    <t>2409</t>
  </si>
  <si>
    <t>Robertsfors</t>
  </si>
  <si>
    <t>2463</t>
  </si>
  <si>
    <t>Åsele</t>
  </si>
  <si>
    <t>2417</t>
  </si>
  <si>
    <t>Norsjö</t>
  </si>
  <si>
    <t>2422</t>
  </si>
  <si>
    <t>Sorsele</t>
  </si>
  <si>
    <t>2418</t>
  </si>
  <si>
    <t>Malå</t>
  </si>
  <si>
    <t>2403</t>
  </si>
  <si>
    <t>Bjurholm</t>
  </si>
  <si>
    <t>2404</t>
  </si>
  <si>
    <t>Vindeln</t>
  </si>
  <si>
    <t>2460</t>
  </si>
  <si>
    <t>Vännäs</t>
  </si>
  <si>
    <t>2281</t>
  </si>
  <si>
    <t>Sundsvall</t>
  </si>
  <si>
    <t>22</t>
  </si>
  <si>
    <t>2280</t>
  </si>
  <si>
    <t>Härnösand</t>
  </si>
  <si>
    <t>2283</t>
  </si>
  <si>
    <t>Sollefteå</t>
  </si>
  <si>
    <t>2262</t>
  </si>
  <si>
    <t>Timrå</t>
  </si>
  <si>
    <t>2284</t>
  </si>
  <si>
    <t>Örnsköldsvik</t>
  </si>
  <si>
    <t>2282</t>
  </si>
  <si>
    <t>Kramfors</t>
  </si>
  <si>
    <t>2260</t>
  </si>
  <si>
    <t>Ånge</t>
  </si>
  <si>
    <t>1980</t>
  </si>
  <si>
    <t>Västerås</t>
  </si>
  <si>
    <t>19</t>
  </si>
  <si>
    <t>1983</t>
  </si>
  <si>
    <t>Köping</t>
  </si>
  <si>
    <t>1907</t>
  </si>
  <si>
    <t>Surahammar</t>
  </si>
  <si>
    <t>1982</t>
  </si>
  <si>
    <t>Fagersta</t>
  </si>
  <si>
    <t>1981</t>
  </si>
  <si>
    <t>Sala</t>
  </si>
  <si>
    <t>1904</t>
  </si>
  <si>
    <t>Skinnskatteberg</t>
  </si>
  <si>
    <t>1984</t>
  </si>
  <si>
    <t>Arboga</t>
  </si>
  <si>
    <t>1962</t>
  </si>
  <si>
    <t>Norberg</t>
  </si>
  <si>
    <t>1960</t>
  </si>
  <si>
    <t>Kungsör</t>
  </si>
  <si>
    <t>1961</t>
  </si>
  <si>
    <t>Hallstahammar</t>
  </si>
  <si>
    <t>1480</t>
  </si>
  <si>
    <t>Göteborg</t>
  </si>
  <si>
    <t>14</t>
  </si>
  <si>
    <t>1490</t>
  </si>
  <si>
    <t>Borås</t>
  </si>
  <si>
    <t>1488</t>
  </si>
  <si>
    <t>Trollhättan</t>
  </si>
  <si>
    <t>1485</t>
  </si>
  <si>
    <t>Uddevalla</t>
  </si>
  <si>
    <t>1470</t>
  </si>
  <si>
    <t>Vara</t>
  </si>
  <si>
    <t>1484</t>
  </si>
  <si>
    <t>Lysekil</t>
  </si>
  <si>
    <t>1487</t>
  </si>
  <si>
    <t>Vänersborg</t>
  </si>
  <si>
    <t>1497</t>
  </si>
  <si>
    <t>Hjo</t>
  </si>
  <si>
    <t>1446</t>
  </si>
  <si>
    <t>Karlsborg</t>
  </si>
  <si>
    <t>1421</t>
  </si>
  <si>
    <t>Orust</t>
  </si>
  <si>
    <t>1439</t>
  </si>
  <si>
    <t>Färgelanda</t>
  </si>
  <si>
    <t>1466</t>
  </si>
  <si>
    <t>Herrljunga</t>
  </si>
  <si>
    <t>1415</t>
  </si>
  <si>
    <t>Stenungsund</t>
  </si>
  <si>
    <t>1419</t>
  </si>
  <si>
    <t>Tjörn</t>
  </si>
  <si>
    <t>1495</t>
  </si>
  <si>
    <t>Skara</t>
  </si>
  <si>
    <t>1462</t>
  </si>
  <si>
    <t>Lilla Edet</t>
  </si>
  <si>
    <t>1430</t>
  </si>
  <si>
    <t>Munkedal</t>
  </si>
  <si>
    <t>1471</t>
  </si>
  <si>
    <t>Götene</t>
  </si>
  <si>
    <t>1496</t>
  </si>
  <si>
    <t>Skövde</t>
  </si>
  <si>
    <t>1461</t>
  </si>
  <si>
    <t>Mellerud</t>
  </si>
  <si>
    <t>1498</t>
  </si>
  <si>
    <t>Tidaholm</t>
  </si>
  <si>
    <t>1452</t>
  </si>
  <si>
    <t>Tranemo</t>
  </si>
  <si>
    <t>1482</t>
  </si>
  <si>
    <t>Kungälv</t>
  </si>
  <si>
    <t>1481</t>
  </si>
  <si>
    <t>Mölndal</t>
  </si>
  <si>
    <t>1402</t>
  </si>
  <si>
    <t>Partille</t>
  </si>
  <si>
    <t>1489</t>
  </si>
  <si>
    <t>Alingsås</t>
  </si>
  <si>
    <t>1443</t>
  </si>
  <si>
    <t>Bollebygd</t>
  </si>
  <si>
    <t>1445</t>
  </si>
  <si>
    <t>Essunga</t>
  </si>
  <si>
    <t>1447</t>
  </si>
  <si>
    <t>Gullspång</t>
  </si>
  <si>
    <t>1401</t>
  </si>
  <si>
    <t>Härryda</t>
  </si>
  <si>
    <t>1441</t>
  </si>
  <si>
    <t>Lerum</t>
  </si>
  <si>
    <t>1494</t>
  </si>
  <si>
    <t>Lidköping</t>
  </si>
  <si>
    <t>1491</t>
  </si>
  <si>
    <t>Ulricehamn</t>
  </si>
  <si>
    <t>1499</t>
  </si>
  <si>
    <t>Falköping</t>
  </si>
  <si>
    <t>1427</t>
  </si>
  <si>
    <t>Sotenäs</t>
  </si>
  <si>
    <t>1473</t>
  </si>
  <si>
    <t>Töreboda</t>
  </si>
  <si>
    <t>1442</t>
  </si>
  <si>
    <t>Vårgårda</t>
  </si>
  <si>
    <t>1407</t>
  </si>
  <si>
    <t>Öckerö</t>
  </si>
  <si>
    <t>1440</t>
  </si>
  <si>
    <t>Ale</t>
  </si>
  <si>
    <t>1463</t>
  </si>
  <si>
    <t>Mark</t>
  </si>
  <si>
    <t>1493</t>
  </si>
  <si>
    <t>Mariestad</t>
  </si>
  <si>
    <t>1486</t>
  </si>
  <si>
    <t>Strömstad</t>
  </si>
  <si>
    <t>1465</t>
  </si>
  <si>
    <t>Svenljunga</t>
  </si>
  <si>
    <t>1460</t>
  </si>
  <si>
    <t>Bengtsfors</t>
  </si>
  <si>
    <t>1438</t>
  </si>
  <si>
    <t>Dals-Ed</t>
  </si>
  <si>
    <t>1444</t>
  </si>
  <si>
    <t>Grästorp</t>
  </si>
  <si>
    <t>1435</t>
  </si>
  <si>
    <t>Tanum</t>
  </si>
  <si>
    <t>1472</t>
  </si>
  <si>
    <t>Tibro</t>
  </si>
  <si>
    <t>1492</t>
  </si>
  <si>
    <t>Åmål</t>
  </si>
  <si>
    <t>1880</t>
  </si>
  <si>
    <t>18</t>
  </si>
  <si>
    <t>1884</t>
  </si>
  <si>
    <t>Nora</t>
  </si>
  <si>
    <t>1861</t>
  </si>
  <si>
    <t>Hallsberg</t>
  </si>
  <si>
    <t>1881</t>
  </si>
  <si>
    <t>Kumla</t>
  </si>
  <si>
    <t>1885</t>
  </si>
  <si>
    <t>Lindesberg</t>
  </si>
  <si>
    <t>1882</t>
  </si>
  <si>
    <t>Askersund</t>
  </si>
  <si>
    <t>1864</t>
  </si>
  <si>
    <t>Ljusnarsberg</t>
  </si>
  <si>
    <t>1862</t>
  </si>
  <si>
    <t>Degerfors</t>
  </si>
  <si>
    <t>1863</t>
  </si>
  <si>
    <t>Hällefors</t>
  </si>
  <si>
    <t>1883</t>
  </si>
  <si>
    <t>Karlskoga</t>
  </si>
  <si>
    <t>1860</t>
  </si>
  <si>
    <t>Laxå</t>
  </si>
  <si>
    <t>1814</t>
  </si>
  <si>
    <t>Lekeberg</t>
  </si>
  <si>
    <t>0580</t>
  </si>
  <si>
    <t>Linköping</t>
  </si>
  <si>
    <t>05</t>
  </si>
  <si>
    <t>0581</t>
  </si>
  <si>
    <t>Norrköping</t>
  </si>
  <si>
    <t>0562</t>
  </si>
  <si>
    <t>Finspång</t>
  </si>
  <si>
    <t>0586</t>
  </si>
  <si>
    <t>Mjölby</t>
  </si>
  <si>
    <t>0560</t>
  </si>
  <si>
    <t>Boxholm</t>
  </si>
  <si>
    <t>0583</t>
  </si>
  <si>
    <t>Motala</t>
  </si>
  <si>
    <t>0582</t>
  </si>
  <si>
    <t>Söderköping</t>
  </si>
  <si>
    <t>0563</t>
  </si>
  <si>
    <t>Valdemarsvik</t>
  </si>
  <si>
    <t>0584</t>
  </si>
  <si>
    <t>Vadstena</t>
  </si>
  <si>
    <t>0561</t>
  </si>
  <si>
    <t>Åtvidaberg</t>
  </si>
  <si>
    <t>0513</t>
  </si>
  <si>
    <t>Kinda</t>
  </si>
  <si>
    <t>0512</t>
  </si>
  <si>
    <t>Ydre</t>
  </si>
  <si>
    <t>0509</t>
  </si>
  <si>
    <t>Ödeshög</t>
  </si>
  <si>
    <t>Antal kommuner</t>
  </si>
  <si>
    <t>Scenkonst-områden</t>
  </si>
  <si>
    <t xml:space="preserve">Kommentar: *Annan huvudman, där stat, kommun eller region har utsett mer än hälften av ledamöterna i styrelsen eller motsvarande ledningsorgan.  </t>
  </si>
  <si>
    <t>Föreställningar/konserter 2020</t>
  </si>
  <si>
    <t xml:space="preserve">Uppgift om kommun saknas </t>
  </si>
  <si>
    <t>Figur 1 underliggande data.</t>
  </si>
  <si>
    <t xml:space="preserve">Figur 7 underliggande data. </t>
  </si>
  <si>
    <t xml:space="preserve">Underlag till info på s 18. </t>
  </si>
  <si>
    <t>Fliken inkluderar figur följt av tabell med underliggande data.</t>
  </si>
  <si>
    <t xml:space="preserve">Fliken inkluderar figur följt av tabell med underliggande data. </t>
  </si>
  <si>
    <t>Uppgift saknas om scenkonstområde</t>
  </si>
  <si>
    <t>Vuxna*</t>
  </si>
  <si>
    <t>Kommentar: * Vuxna är inte lämpligt som rubrik i cirkeldiagrammet pga av att siffran även inkluderar barn i de fall uppgift om ålder saknas.</t>
  </si>
  <si>
    <t xml:space="preserve">Kommentar: * Vuxna är inte lämpligt som rubrik i cirkeldiagrammet pga av att siffran även inkluderar åldersöverskridande föreställningar och konserter som ej riktas till specifika målgrupper. </t>
  </si>
  <si>
    <t xml:space="preserve">Turné utanför eget län 2020 </t>
  </si>
  <si>
    <t xml:space="preserve">varav barn som publik 2020 </t>
  </si>
  <si>
    <t>Mottagna gästspel 2020</t>
  </si>
  <si>
    <t>Antal invånare</t>
  </si>
  <si>
    <t>Scenkonst i Sverige 2020</t>
  </si>
  <si>
    <t>Figurer och tabeller i rapporten</t>
  </si>
  <si>
    <t>Tillbaka till innehållsförteckning</t>
  </si>
  <si>
    <t>Tabell 1</t>
  </si>
  <si>
    <t>Tabell 2</t>
  </si>
  <si>
    <t>Figur 1</t>
  </si>
  <si>
    <t>Figur 1 och 7</t>
  </si>
  <si>
    <t>Figur 2</t>
  </si>
  <si>
    <t>Figur 3</t>
  </si>
  <si>
    <t>Figur 4</t>
  </si>
  <si>
    <t>Figur 5</t>
  </si>
  <si>
    <t>Figur 6</t>
  </si>
  <si>
    <t>Figur 7</t>
  </si>
  <si>
    <t>Tabell 3</t>
  </si>
  <si>
    <t>Figur 8</t>
  </si>
  <si>
    <t>Tabell 4</t>
  </si>
  <si>
    <t>Tabell 5</t>
  </si>
  <si>
    <t>Figur 9</t>
  </si>
  <si>
    <t>Figur 10</t>
  </si>
  <si>
    <t>Figur 11</t>
  </si>
  <si>
    <t>Figur 12</t>
  </si>
  <si>
    <t>Länk till tabellen i respektive flik</t>
  </si>
  <si>
    <t>Figur 8. Digitala produktioner per scenkonstområde 2020, antal och andel i procent</t>
  </si>
  <si>
    <t>Tabell 1. Organisationsform och huvudman 2020, antal scenkonstverksamheter per kategori</t>
  </si>
  <si>
    <t>Tabell 2. Scenkonstverksamheter per scenkonstområde 2020, antal och andel i procent</t>
  </si>
  <si>
    <t>Figur 1: Geografisk spridning av scenkonstverksamheter med statliga och/eller regionala bidrag, antal per kommun</t>
  </si>
  <si>
    <t>Figur 2. Publik 2019 och 2020, totalt och uppdelat på egenproduktion samt gästspel</t>
  </si>
  <si>
    <t>Figur 3. Publik 2020, antal och andel barn och vuxna av total publik</t>
  </si>
  <si>
    <t>Figur 4. Föreställningar och konserter 2019 och 2020, totalt och uppdelat på egenproduktion och gästspel</t>
  </si>
  <si>
    <t>Figur 5. Föreställningar och konserter med barn som målgrupp 2020, antal och andel i procent</t>
  </si>
  <si>
    <t>Figur 6. Föreställningar och konserter per scenkonstområde, antal och andel i procent</t>
  </si>
  <si>
    <t>Tabell 3. Föreställningar och konserter per län 2020, totalt och uppdelat på egenproduktion och gästspel samt antal per 1000 invånare</t>
  </si>
  <si>
    <t>Figur 7. Föreställningar och konserter per kommun 2020 (egenproduktion och gästspel)</t>
  </si>
  <si>
    <t>Tabell 4. Digital distribution 2019 och 2020, antal scenkonstverksamheter</t>
  </si>
  <si>
    <t>Figur 9. Totala intäkter och kostnader 2019 och 2020, miljoner kronor</t>
  </si>
  <si>
    <t>Figur 10. Intäkter per intäktsslag 2020 per huvudman samt totalt för 2019 och 2020, procent av totala intäkter</t>
  </si>
  <si>
    <t>Figur 11. Kostnader per kostnadsslag 2020 per huvudman samt totalt för 2019 och 2020, procent av totala kostnader</t>
  </si>
  <si>
    <t>Figur 11. Årsarbetskrafter 2019 och 2020 uppdelat på antal kvinnor och män</t>
  </si>
  <si>
    <t>Bilaga 1</t>
  </si>
  <si>
    <t>Denna tabellbilaga tillhör rapporten Scenkonst i Sverige som publicerades 31 mars 2022 av Myndigheten för kulturanalys.</t>
  </si>
  <si>
    <t>varav skol-föreställningar/ konserter</t>
  </si>
  <si>
    <r>
      <t xml:space="preserve">Föreställningar och konserter 2020 </t>
    </r>
    <r>
      <rPr>
        <sz val="9"/>
        <rFont val="Arial"/>
        <family val="2"/>
      </rPr>
      <t>(egen- och samproduktion)</t>
    </r>
  </si>
  <si>
    <t>Bilaga i promemorian</t>
  </si>
  <si>
    <t>Länk till promemorian</t>
  </si>
  <si>
    <t xml:space="preserve">varav riktade till barn 2020  </t>
  </si>
  <si>
    <t>Konserthuset Stockholm med Kungliga Filharmonikerna</t>
  </si>
  <si>
    <t xml:space="preserve">Kommentar: Föreställningar och konserter är uppdelade på tre kolumner: egen- och samproduktion, mottagna gästspel och turné utanför eget län. Dessutom en kolumn för varav riktade till barn  av totalt antal föreställningar och konserter. Publik avser total publik och summerar för egen- och samproduktion, mottagna gästspel och turné. </t>
  </si>
  <si>
    <t>Scenkonsverksamheter</t>
  </si>
  <si>
    <t>Tabell med underliggande data till kartorna i figur 1 och figur 7, antal scenkonsverksamheter, föreställningar/konserter per kommun</t>
  </si>
  <si>
    <t>Bilaga 1. Scenkonstverksamheter 2020</t>
  </si>
  <si>
    <t>Musikaliska: Blåsarsymfoniker/ Länsmusiken i Stockholm</t>
  </si>
  <si>
    <t xml:space="preserve">Kommentar: SCB är källa för antal invånare per län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</si>
</sst>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5" x14ac:knownFonts="1">
    <font>
      <sz val="10"/>
      <color theme="1"/>
      <name val="Arial"/>
      <family val="2"/>
    </font>
    <font>
      <sz val="11"/>
      <color theme="1"/>
      <name val="Arial"/>
      <family val="2"/>
      <scheme val="minor"/>
    </font>
    <font>
      <sz val="10"/>
      <color theme="1"/>
      <name val="Arial"/>
      <family val="2"/>
      <scheme val="minor"/>
    </font>
    <font>
      <b/>
      <sz val="15"/>
      <color theme="3"/>
      <name val="Arial"/>
      <family val="2"/>
      <scheme val="minor"/>
    </font>
    <font>
      <sz val="8"/>
      <color theme="1"/>
      <name val="Arial"/>
      <family val="2"/>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b/>
      <sz val="13"/>
      <name val="Arial"/>
      <family val="2"/>
      <scheme val="minor"/>
    </font>
    <font>
      <b/>
      <sz val="9"/>
      <color theme="1"/>
      <name val="Arial"/>
      <family val="2"/>
    </font>
    <font>
      <sz val="9"/>
      <color theme="1"/>
      <name val="Arial"/>
      <family val="2"/>
    </font>
    <font>
      <b/>
      <sz val="8"/>
      <color theme="1"/>
      <name val="Arial"/>
      <family val="2"/>
    </font>
    <font>
      <b/>
      <sz val="9"/>
      <name val="Arial"/>
      <family val="2"/>
    </font>
    <font>
      <sz val="9"/>
      <name val="Arial"/>
      <family val="2"/>
    </font>
    <font>
      <sz val="9"/>
      <color theme="1"/>
      <name val="Times New Roman"/>
      <family val="1"/>
    </font>
    <font>
      <b/>
      <sz val="9"/>
      <name val="Arial"/>
      <family val="2"/>
      <scheme val="major"/>
    </font>
    <font>
      <sz val="9"/>
      <name val="Arial"/>
      <family val="2"/>
      <scheme val="minor"/>
    </font>
    <font>
      <sz val="8"/>
      <name val="Arial"/>
      <family val="2"/>
    </font>
    <font>
      <b/>
      <sz val="10"/>
      <color theme="1"/>
      <name val="Arial"/>
      <family val="2"/>
    </font>
    <font>
      <sz val="10"/>
      <name val="Arial"/>
      <family val="2"/>
    </font>
    <font>
      <sz val="10"/>
      <color theme="1"/>
      <name val="Arial"/>
      <family val="2"/>
    </font>
    <font>
      <sz val="9"/>
      <name val="Times New Roman"/>
      <family val="1"/>
    </font>
    <font>
      <u/>
      <sz val="10"/>
      <color theme="10"/>
      <name val="Arial"/>
      <family val="2"/>
    </font>
    <font>
      <sz val="20"/>
      <color theme="1"/>
      <name val="Arial"/>
      <family val="2"/>
    </font>
    <font>
      <u/>
      <sz val="9"/>
      <color theme="10"/>
      <name val="Arial"/>
      <family val="2"/>
    </font>
    <font>
      <u/>
      <sz val="10"/>
      <color theme="4" tint="-0.249977111117893"/>
      <name val="Arial"/>
      <family val="2"/>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E8E8E8"/>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bottom style="thick">
        <color auto="1"/>
      </bottom>
      <diagonal/>
    </border>
    <border>
      <left/>
      <right/>
      <top/>
      <bottom style="medium">
        <color auto="1"/>
      </bottom>
      <diagonal/>
    </border>
    <border>
      <left/>
      <right/>
      <top/>
      <bottom style="thin">
        <color auto="1"/>
      </bottom>
      <diagonal/>
    </border>
    <border>
      <left style="thin">
        <color theme="2" tint="0.34998626667073579"/>
      </left>
      <right/>
      <top/>
      <bottom/>
      <diagonal/>
    </border>
    <border>
      <left/>
      <right/>
      <top style="thin">
        <color auto="1"/>
      </top>
      <bottom/>
      <diagonal/>
    </border>
  </borders>
  <cellStyleXfs count="30">
    <xf numFmtId="0" fontId="0" fillId="0" borderId="0" applyBorder="0">
      <alignment wrapText="1"/>
    </xf>
    <xf numFmtId="0" fontId="3" fillId="0" borderId="8" applyNumberFormat="0" applyFill="0" applyAlignment="0" applyProtection="0"/>
    <xf numFmtId="0" fontId="17" fillId="0" borderId="9" applyNumberFormat="0" applyFill="0" applyAlignment="0" applyProtection="0"/>
    <xf numFmtId="49" fontId="21" fillId="0" borderId="0" applyBorder="0">
      <alignment vertical="top"/>
    </xf>
    <xf numFmtId="49" fontId="22" fillId="0" borderId="0" applyFill="0">
      <alignment vertical="top"/>
    </xf>
    <xf numFmtId="0" fontId="4" fillId="0" borderId="0" applyBorder="0">
      <alignment horizontal="left" vertical="center" wrapText="1"/>
    </xf>
    <xf numFmtId="0" fontId="5" fillId="0" borderId="9" applyNumberFormat="0" applyFill="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1" applyNumberFormat="0" applyAlignment="0" applyProtection="0"/>
    <xf numFmtId="0" fontId="10" fillId="6" borderId="2" applyNumberFormat="0" applyAlignment="0" applyProtection="0"/>
    <xf numFmtId="0" fontId="11" fillId="6" borderId="1" applyNumberFormat="0" applyAlignment="0" applyProtection="0"/>
    <xf numFmtId="0" fontId="12" fillId="0" borderId="3" applyNumberFormat="0" applyFill="0" applyAlignment="0" applyProtection="0"/>
    <xf numFmtId="0" fontId="13" fillId="7" borderId="4" applyNumberFormat="0" applyAlignment="0" applyProtection="0"/>
    <xf numFmtId="0" fontId="14" fillId="0" borderId="0" applyNumberFormat="0" applyFill="0" applyBorder="0" applyAlignment="0" applyProtection="0"/>
    <xf numFmtId="0" fontId="2" fillId="8" borderId="5" applyNumberFormat="0" applyFont="0" applyAlignment="0" applyProtection="0"/>
    <xf numFmtId="0" fontId="15" fillId="0" borderId="0" applyNumberFormat="0" applyFill="0" applyBorder="0" applyAlignment="0" applyProtection="0"/>
    <xf numFmtId="0" fontId="16" fillId="0" borderId="6" applyNumberFormat="0" applyFill="0" applyAlignment="0" applyProtection="0"/>
    <xf numFmtId="3" fontId="20" fillId="9" borderId="7">
      <alignment horizontal="right" wrapText="1"/>
      <protection locked="0"/>
    </xf>
    <xf numFmtId="0" fontId="18" fillId="0" borderId="0" applyNumberFormat="0" applyProtection="0">
      <alignment wrapText="1"/>
    </xf>
    <xf numFmtId="0" fontId="19" fillId="0" borderId="0">
      <alignment wrapText="1"/>
    </xf>
    <xf numFmtId="0" fontId="23" fillId="0" borderId="0">
      <alignment wrapText="1"/>
    </xf>
    <xf numFmtId="0" fontId="4" fillId="0" borderId="0" applyBorder="0">
      <alignment wrapText="1"/>
    </xf>
    <xf numFmtId="49" fontId="24" fillId="0" borderId="0">
      <alignment vertical="top"/>
    </xf>
    <xf numFmtId="49" fontId="25" fillId="0" borderId="0">
      <alignment vertical="top"/>
    </xf>
    <xf numFmtId="9" fontId="29" fillId="0" borderId="0" applyFont="0" applyFill="0" applyBorder="0" applyAlignment="0" applyProtection="0"/>
    <xf numFmtId="0" fontId="1" fillId="0" borderId="0"/>
    <xf numFmtId="0" fontId="29" fillId="0" borderId="0" applyBorder="0">
      <alignment wrapText="1"/>
    </xf>
    <xf numFmtId="0" fontId="31" fillId="0" borderId="0" applyNumberFormat="0" applyFill="0" applyBorder="0" applyAlignment="0" applyProtection="0">
      <alignment wrapText="1"/>
    </xf>
  </cellStyleXfs>
  <cellXfs count="69">
    <xf numFmtId="0" fontId="0" fillId="0" borderId="0" xfId="0">
      <alignment wrapText="1"/>
    </xf>
    <xf numFmtId="49" fontId="21" fillId="0" borderId="0" xfId="3">
      <alignment vertical="top"/>
    </xf>
    <xf numFmtId="0" fontId="4" fillId="0" borderId="0" xfId="5">
      <alignment horizontal="left" vertical="center" wrapText="1"/>
    </xf>
    <xf numFmtId="0" fontId="4" fillId="0" borderId="0" xfId="5" applyAlignment="1">
      <alignment horizontal="right" vertical="center" wrapText="1"/>
    </xf>
    <xf numFmtId="3" fontId="20" fillId="9" borderId="7" xfId="19">
      <alignment horizontal="right" wrapText="1"/>
      <protection locked="0"/>
    </xf>
    <xf numFmtId="0" fontId="0" fillId="0" borderId="0" xfId="0" applyAlignment="1"/>
    <xf numFmtId="0" fontId="19" fillId="0" borderId="0" xfId="21">
      <alignment wrapText="1"/>
    </xf>
    <xf numFmtId="0" fontId="26" fillId="0" borderId="0" xfId="5" applyFont="1">
      <alignment horizontal="left" vertical="center" wrapText="1"/>
    </xf>
    <xf numFmtId="0" fontId="27" fillId="0" borderId="0" xfId="0" applyFont="1">
      <alignment wrapText="1"/>
    </xf>
    <xf numFmtId="0" fontId="4" fillId="10" borderId="0" xfId="5" applyNumberFormat="1" applyFont="1" applyFill="1" applyAlignment="1">
      <alignment horizontal="left" vertical="center" wrapText="1"/>
    </xf>
    <xf numFmtId="0" fontId="4" fillId="10" borderId="0" xfId="5" applyNumberFormat="1" applyFont="1" applyFill="1" applyAlignment="1">
      <alignment horizontal="right" vertical="center" wrapText="1"/>
    </xf>
    <xf numFmtId="0" fontId="4" fillId="0" borderId="0" xfId="5" applyNumberFormat="1" applyFont="1" applyAlignment="1">
      <alignment horizontal="left" vertical="center" wrapText="1"/>
    </xf>
    <xf numFmtId="0" fontId="4" fillId="0" borderId="0" xfId="5" applyNumberFormat="1" applyFont="1" applyAlignment="1">
      <alignment horizontal="right" vertical="center" wrapText="1"/>
    </xf>
    <xf numFmtId="49" fontId="21" fillId="0" borderId="10" xfId="3" applyNumberFormat="1" applyFont="1" applyBorder="1" applyAlignment="1">
      <alignment vertical="top"/>
    </xf>
    <xf numFmtId="9" fontId="4" fillId="10" borderId="0" xfId="5" applyNumberFormat="1" applyFont="1" applyFill="1" applyAlignment="1">
      <alignment horizontal="right" vertical="center" wrapText="1"/>
    </xf>
    <xf numFmtId="9" fontId="4" fillId="0" borderId="0" xfId="5" applyNumberFormat="1" applyFont="1" applyAlignment="1">
      <alignment horizontal="right" vertical="center" wrapText="1"/>
    </xf>
    <xf numFmtId="0" fontId="20" fillId="0" borderId="0" xfId="5" applyNumberFormat="1" applyFont="1" applyAlignment="1">
      <alignment horizontal="left" vertical="center" wrapText="1"/>
    </xf>
    <xf numFmtId="9" fontId="20" fillId="0" borderId="0" xfId="5" applyNumberFormat="1" applyFont="1" applyAlignment="1">
      <alignment horizontal="right" vertical="center" wrapText="1"/>
    </xf>
    <xf numFmtId="0" fontId="4" fillId="0" borderId="11" xfId="5" applyBorder="1">
      <alignment horizontal="left" vertical="center" wrapText="1"/>
    </xf>
    <xf numFmtId="3" fontId="4" fillId="0" borderId="0" xfId="5" applyNumberFormat="1">
      <alignment horizontal="left" vertical="center" wrapText="1"/>
    </xf>
    <xf numFmtId="164" fontId="4" fillId="0" borderId="0" xfId="5" applyNumberFormat="1" applyAlignment="1">
      <alignment horizontal="right" vertical="center" wrapText="1"/>
    </xf>
    <xf numFmtId="9" fontId="4" fillId="0" borderId="0" xfId="5" applyNumberFormat="1" applyAlignment="1">
      <alignment horizontal="right" vertical="center" wrapText="1"/>
    </xf>
    <xf numFmtId="49" fontId="21" fillId="0" borderId="7" xfId="3" applyNumberFormat="1" applyFont="1" applyBorder="1" applyAlignment="1">
      <alignment vertical="top"/>
    </xf>
    <xf numFmtId="49" fontId="21" fillId="0" borderId="0" xfId="3" applyNumberFormat="1" applyFont="1" applyFill="1" applyBorder="1" applyAlignment="1">
      <alignment vertical="top"/>
    </xf>
    <xf numFmtId="0" fontId="4" fillId="9" borderId="0" xfId="5" applyNumberFormat="1" applyFont="1" applyFill="1" applyAlignment="1">
      <alignment horizontal="left" vertical="center" wrapText="1"/>
    </xf>
    <xf numFmtId="0" fontId="23" fillId="0" borderId="0" xfId="22" applyAlignment="1"/>
    <xf numFmtId="3" fontId="4" fillId="10" borderId="0" xfId="5" applyNumberFormat="1" applyFont="1" applyFill="1" applyAlignment="1">
      <alignment horizontal="right" vertical="center" wrapText="1"/>
    </xf>
    <xf numFmtId="3" fontId="4" fillId="0" borderId="0" xfId="5" applyNumberFormat="1" applyFont="1" applyAlignment="1">
      <alignment horizontal="right" vertical="center" wrapText="1"/>
    </xf>
    <xf numFmtId="3" fontId="20" fillId="0" borderId="0" xfId="5" applyNumberFormat="1" applyFont="1" applyAlignment="1">
      <alignment horizontal="right" vertical="center" wrapText="1"/>
    </xf>
    <xf numFmtId="9" fontId="4" fillId="0" borderId="0" xfId="5" applyNumberFormat="1">
      <alignment horizontal="left" vertical="center" wrapText="1"/>
    </xf>
    <xf numFmtId="0" fontId="28" fillId="0" borderId="0" xfId="0" applyFont="1">
      <alignment wrapText="1"/>
    </xf>
    <xf numFmtId="0" fontId="4" fillId="0" borderId="0" xfId="5" applyBorder="1">
      <alignment horizontal="left" vertical="center" wrapText="1"/>
    </xf>
    <xf numFmtId="49" fontId="21" fillId="0" borderId="0" xfId="3" applyNumberFormat="1" applyFont="1" applyAlignment="1">
      <alignment vertical="top"/>
    </xf>
    <xf numFmtId="0" fontId="20" fillId="0" borderId="12" xfId="5" applyFont="1" applyBorder="1">
      <alignment horizontal="left" vertical="center" wrapText="1"/>
    </xf>
    <xf numFmtId="9" fontId="4" fillId="0" borderId="0" xfId="26" applyFont="1" applyAlignment="1">
      <alignment horizontal="left" vertical="center" wrapText="1"/>
    </xf>
    <xf numFmtId="9" fontId="4" fillId="0" borderId="12" xfId="26" applyFont="1" applyBorder="1" applyAlignment="1">
      <alignment horizontal="left" vertical="center" wrapText="1"/>
    </xf>
    <xf numFmtId="0" fontId="4" fillId="0" borderId="12" xfId="5" applyBorder="1">
      <alignment horizontal="left" vertical="center" wrapText="1"/>
    </xf>
    <xf numFmtId="0" fontId="29" fillId="0" borderId="0" xfId="27" applyFont="1"/>
    <xf numFmtId="49" fontId="28" fillId="0" borderId="0" xfId="27" applyNumberFormat="1" applyFont="1"/>
    <xf numFmtId="0" fontId="28" fillId="0" borderId="0" xfId="27" applyFont="1"/>
    <xf numFmtId="49" fontId="21" fillId="0" borderId="0" xfId="3" applyAlignment="1">
      <alignment vertical="top" wrapText="1"/>
    </xf>
    <xf numFmtId="3" fontId="4" fillId="0" borderId="0" xfId="5" applyNumberFormat="1" applyAlignment="1">
      <alignment horizontal="right" vertical="center" wrapText="1"/>
    </xf>
    <xf numFmtId="3" fontId="20" fillId="0" borderId="0" xfId="5" applyNumberFormat="1" applyFont="1" applyAlignment="1">
      <alignment horizontal="left" vertical="center" wrapText="1"/>
    </xf>
    <xf numFmtId="0" fontId="0" fillId="0" borderId="0" xfId="0" applyAlignment="1">
      <alignment wrapText="1"/>
    </xf>
    <xf numFmtId="0" fontId="20" fillId="0" borderId="12" xfId="5" applyFont="1" applyBorder="1" applyAlignment="1">
      <alignment horizontal="right" vertical="center" wrapText="1"/>
    </xf>
    <xf numFmtId="49" fontId="24" fillId="0" borderId="0" xfId="24">
      <alignment vertical="top"/>
    </xf>
    <xf numFmtId="3" fontId="20" fillId="9" borderId="7" xfId="19" applyAlignment="1">
      <alignment horizontal="left" wrapText="1"/>
      <protection locked="0"/>
    </xf>
    <xf numFmtId="9" fontId="20" fillId="9" borderId="7" xfId="19" applyNumberFormat="1">
      <alignment horizontal="right" wrapText="1"/>
      <protection locked="0"/>
    </xf>
    <xf numFmtId="49" fontId="21" fillId="0" borderId="10" xfId="3" applyBorder="1">
      <alignment vertical="top"/>
    </xf>
    <xf numFmtId="3" fontId="0" fillId="0" borderId="0" xfId="0" applyNumberFormat="1" applyAlignment="1">
      <alignment horizontal="right" wrapText="1"/>
    </xf>
    <xf numFmtId="3" fontId="20" fillId="9" borderId="7" xfId="19" applyAlignment="1">
      <alignment wrapText="1"/>
      <protection locked="0"/>
    </xf>
    <xf numFmtId="4" fontId="4" fillId="0" borderId="0" xfId="5" applyNumberFormat="1" applyAlignment="1">
      <alignment horizontal="right" vertical="center" wrapText="1"/>
    </xf>
    <xf numFmtId="9" fontId="4" fillId="0" borderId="0" xfId="26" applyFont="1" applyBorder="1" applyAlignment="1">
      <alignment horizontal="left" vertical="center" wrapText="1"/>
    </xf>
    <xf numFmtId="0" fontId="4" fillId="0" borderId="0" xfId="5" applyAlignment="1">
      <alignment horizontal="left" vertical="center" wrapText="1"/>
    </xf>
    <xf numFmtId="0" fontId="4" fillId="0" borderId="0" xfId="5" applyAlignment="1">
      <alignment horizontal="left" vertical="center"/>
    </xf>
    <xf numFmtId="0" fontId="31" fillId="0" borderId="0" xfId="29" applyAlignment="1"/>
    <xf numFmtId="0" fontId="32" fillId="0" borderId="0" xfId="0" applyFont="1" applyAlignment="1"/>
    <xf numFmtId="49" fontId="0" fillId="0" borderId="0" xfId="0" applyNumberFormat="1" applyAlignment="1"/>
    <xf numFmtId="0" fontId="27" fillId="0" borderId="0" xfId="0" applyFont="1" applyAlignment="1"/>
    <xf numFmtId="0" fontId="0" fillId="0" borderId="0" xfId="0" applyFont="1" applyAlignment="1"/>
    <xf numFmtId="0" fontId="0" fillId="0" borderId="0" xfId="0" applyFill="1" applyBorder="1">
      <alignment wrapText="1"/>
    </xf>
    <xf numFmtId="0" fontId="4" fillId="0" borderId="0" xfId="5" applyFill="1" applyBorder="1" applyAlignment="1">
      <alignment horizontal="right" vertical="center" wrapText="1"/>
    </xf>
    <xf numFmtId="49" fontId="28" fillId="0" borderId="0" xfId="27" applyNumberFormat="1" applyFont="1" applyFill="1" applyBorder="1"/>
    <xf numFmtId="49" fontId="0" fillId="0" borderId="0" xfId="0" applyNumberFormat="1" applyFill="1" applyBorder="1" applyAlignment="1"/>
    <xf numFmtId="49" fontId="24" fillId="0" borderId="0" xfId="24" applyBorder="1">
      <alignment vertical="top"/>
    </xf>
    <xf numFmtId="0" fontId="19" fillId="0" borderId="0" xfId="0" applyFont="1">
      <alignment wrapText="1"/>
    </xf>
    <xf numFmtId="0" fontId="33" fillId="0" borderId="0" xfId="29" applyFont="1" applyAlignment="1"/>
    <xf numFmtId="0" fontId="34" fillId="0" borderId="0" xfId="29" applyFont="1" applyAlignment="1"/>
    <xf numFmtId="0" fontId="4" fillId="0" borderId="0" xfId="5" applyNumberFormat="1" applyAlignment="1">
      <alignment horizontal="right" vertical="center" wrapText="1"/>
    </xf>
  </cellXfs>
  <cellStyles count="30">
    <cellStyle name="Anteckning" xfId="16" builtinId="10" hidden="1"/>
    <cellStyle name="Beräkning" xfId="12" builtinId="22" hidden="1"/>
    <cellStyle name="Bra" xfId="7" builtinId="26" hidden="1"/>
    <cellStyle name="Dålig" xfId="8" builtinId="27" hidden="1"/>
    <cellStyle name="Förklarande text" xfId="17" builtinId="53" hidden="1"/>
    <cellStyle name="Hyperlänk" xfId="29" builtinId="8"/>
    <cellStyle name="Indata" xfId="10" builtinId="20" hidden="1"/>
    <cellStyle name="Innehållsrubrik" xfId="20" xr:uid="{DA2553C1-ADCE-4241-ABCA-4FAC1DB9EE03}"/>
    <cellStyle name="Innehållstext" xfId="21" xr:uid="{B2C5B4EA-8F6F-4670-B4AA-5319574AA72F}"/>
    <cellStyle name="Kontrollcell" xfId="14" builtinId="23" hidden="1"/>
    <cellStyle name="Källa" xfId="22" xr:uid="{444FA43B-D1E9-4038-9F4E-976F11803728}"/>
    <cellStyle name="Länkad cell" xfId="13" builtinId="24" hidden="1"/>
    <cellStyle name="Neutral" xfId="9" builtinId="28" hidden="1"/>
    <cellStyle name="Normal" xfId="0" builtinId="0" customBuiltin="1"/>
    <cellStyle name="Normal 2" xfId="23" xr:uid="{B2A58830-9960-4962-B19F-13D4393FFB27}"/>
    <cellStyle name="Normal 2 2" xfId="28" xr:uid="{F9A52CC1-E8D7-4C3D-BF5B-45080AB785E7}"/>
    <cellStyle name="Normal 3" xfId="27" xr:uid="{83F1DC90-3265-44AA-88D5-4D8871FAC32C}"/>
    <cellStyle name="Procent" xfId="26" builtinId="5"/>
    <cellStyle name="Rubrik 1" xfId="1" builtinId="16" customBuiltin="1"/>
    <cellStyle name="Rubrik 2" xfId="2" builtinId="17" customBuiltin="1"/>
    <cellStyle name="Rubrik 3" xfId="6" builtinId="18" customBuiltin="1"/>
    <cellStyle name="Summa" xfId="18" builtinId="25" hidden="1"/>
    <cellStyle name="Summarad" xfId="19" xr:uid="{587B6513-F28E-4068-9714-D32048B8A3E8}"/>
    <cellStyle name="Tabellrubrik" xfId="3" xr:uid="{D761312B-E6A1-402E-AAD5-9481927A5129}"/>
    <cellStyle name="Tabellrubrik 2" xfId="24" xr:uid="{5DCA902B-8301-4C4A-A7F1-BF60614B4676}"/>
    <cellStyle name="Tabellrubrik engelska" xfId="4" xr:uid="{6D778913-260F-425F-B93A-64DFEC78E187}"/>
    <cellStyle name="Tabellrubrik engelska 2" xfId="25" xr:uid="{6123B3FD-D501-444C-BB89-287C135A2F1F}"/>
    <cellStyle name="Tabelltext" xfId="5" xr:uid="{B655E2D5-DD52-41A0-83F6-AF7AFAB8FAD2}"/>
    <cellStyle name="Utdata" xfId="11" builtinId="21" hidden="1"/>
    <cellStyle name="Varningstext" xfId="15" builtinId="11" hidden="1"/>
  </cellStyles>
  <dxfs count="89">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alignment horizontal="left" vertical="center" textRotation="0" wrapText="1" indent="0" justifyLastLine="0" shrinkToFit="0" readingOrder="0"/>
    </dxf>
    <dxf>
      <alignment horizontal="righ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center" textRotation="0" wrapText="1" indent="0" justifyLastLine="0" shrinkToFit="0" readingOrder="0"/>
    </dxf>
    <dxf>
      <numFmt numFmtId="13" formatCode="0%"/>
    </dxf>
    <dxf>
      <numFmt numFmtId="4" formatCode="#,##0.00"/>
      <alignment horizontal="right" vertical="center" textRotation="0" wrapText="1" indent="0" justifyLastLine="0" shrinkToFit="0" readingOrder="0"/>
    </dxf>
    <dxf>
      <numFmt numFmtId="4" formatCode="#,##0.00"/>
      <alignment horizontal="right" vertical="center" textRotation="0" wrapText="1" indent="0" justifyLastLine="0" shrinkToFit="0" readingOrder="0"/>
    </dxf>
    <dxf>
      <numFmt numFmtId="4" formatCode="#,##0.00"/>
    </dxf>
    <dxf>
      <numFmt numFmtId="13" formatCode="0%"/>
      <alignment horizontal="right" vertical="center" textRotation="0" wrapText="1" indent="0" justifyLastLine="0" shrinkToFit="0" readingOrder="0"/>
    </dxf>
    <dxf>
      <alignment horizontal="right" vertical="center" textRotation="0" wrapText="1" indent="0" justifyLastLine="0" shrinkToFit="0" readingOrder="0"/>
    </dxf>
    <dxf>
      <alignment horizontal="general" vertical="bottom" textRotation="0" wrapText="0" indent="0" justifyLastLine="0" shrinkToFit="0" readingOrder="0"/>
    </dxf>
    <dxf>
      <numFmt numFmtId="3" formatCode="#,##0"/>
      <alignment horizontal="right" vertical="center" textRotation="0" wrapText="1" indent="0" justifyLastLine="0" shrinkToFit="0" readingOrder="0"/>
    </dxf>
    <dxf>
      <alignment horizontal="right" vertical="center" textRotation="0" wrapText="1" indent="0" justifyLastLine="0" shrinkToFit="0" readingOrder="0"/>
    </dxf>
    <dxf>
      <numFmt numFmtId="13" formatCode="0%"/>
    </dxf>
    <dxf>
      <numFmt numFmtId="3" formatCode="#,##0"/>
    </dxf>
    <dxf>
      <border outline="0">
        <top style="thin">
          <color auto="1"/>
        </top>
        <bottom style="thin">
          <color auto="1"/>
        </bottom>
      </border>
    </dxf>
    <dxf>
      <border outline="0">
        <bottom style="thin">
          <color auto="1"/>
        </bottom>
      </border>
    </dxf>
    <dxf>
      <font>
        <b/>
        <i val="0"/>
        <strike val="0"/>
        <condense val="0"/>
        <extend val="0"/>
        <outline val="0"/>
        <shadow val="0"/>
        <u val="none"/>
        <vertAlign val="baseline"/>
        <sz val="9"/>
        <color auto="1"/>
        <name val="Arial"/>
        <family val="2"/>
        <scheme val="none"/>
      </font>
      <numFmt numFmtId="30" formatCode="@"/>
      <alignment horizontal="general" vertical="top" textRotation="0" wrapText="0" indent="0" justifyLastLine="0" shrinkToFit="0" readingOrder="0"/>
    </dxf>
    <dxf>
      <numFmt numFmtId="3" formatCode="#,##0"/>
      <alignment horizontal="right" vertical="center" textRotation="0" wrapText="1" indent="0" justifyLastLine="0" shrinkToFit="0" readingOrder="0"/>
    </dxf>
    <dxf>
      <alignment horizontal="right" vertical="center" textRotation="0" wrapText="1" indent="0" justifyLastLine="0" shrinkToFit="0" readingOrder="0"/>
    </dxf>
    <dxf>
      <alignment horizontal="general" vertical="top" textRotation="0" wrapText="1" indent="0" justifyLastLine="0" shrinkToFit="0" readingOrder="0"/>
    </dxf>
    <dxf>
      <numFmt numFmtId="164" formatCode="0.0"/>
      <alignment horizontal="right" vertical="center" textRotation="0" wrapText="1" indent="0" justifyLastLine="0" shrinkToFit="0" readingOrder="0"/>
    </dxf>
    <dxf>
      <numFmt numFmtId="0" formatCode="General"/>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general" vertical="top" textRotation="0" wrapText="1" indent="0" justifyLastLine="0" shrinkToFit="0" readingOrder="0"/>
    </dxf>
    <dxf>
      <numFmt numFmtId="13" formatCode="0%"/>
    </dxf>
    <dxf>
      <numFmt numFmtId="3" formatCode="#,##0"/>
    </dxf>
    <dxf>
      <border outline="0">
        <top style="thin">
          <color auto="1"/>
        </top>
        <bottom style="thin">
          <color auto="1"/>
        </bottom>
      </border>
    </dxf>
    <dxf>
      <border outline="0">
        <bottom style="thin">
          <color auto="1"/>
        </bottom>
      </border>
    </dxf>
    <dxf>
      <font>
        <b/>
        <i val="0"/>
        <strike val="0"/>
        <condense val="0"/>
        <extend val="0"/>
        <outline val="0"/>
        <shadow val="0"/>
        <u val="none"/>
        <vertAlign val="baseline"/>
        <sz val="9"/>
        <color auto="1"/>
        <name val="Arial"/>
        <family val="2"/>
        <scheme val="none"/>
      </font>
      <numFmt numFmtId="30" formatCode="@"/>
      <alignment horizontal="general" vertical="top" textRotation="0" wrapText="0" indent="0" justifyLastLine="0" shrinkToFit="0" readingOrder="0"/>
    </dxf>
    <dxf>
      <numFmt numFmtId="1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font>
        <b/>
        <i val="0"/>
        <strike val="0"/>
        <condense val="0"/>
        <extend val="0"/>
        <outline val="0"/>
        <shadow val="0"/>
        <u val="none"/>
        <vertAlign val="baseline"/>
        <sz val="9"/>
        <color auto="1"/>
        <name val="Arial"/>
        <family val="2"/>
        <scheme val="none"/>
      </font>
      <numFmt numFmtId="30" formatCode="@"/>
      <alignment horizontal="general" vertical="top" textRotation="0" wrapText="0" indent="0" justifyLastLine="0" shrinkToFit="0" readingOrder="0"/>
    </dxf>
    <dxf>
      <numFmt numFmtId="3" formatCode="#,##0"/>
    </dxf>
    <dxf>
      <numFmt numFmtId="3" formatCode="#,##0"/>
    </dxf>
    <dxf>
      <numFmt numFmtId="3" formatCode="#,##0"/>
    </dxf>
    <dxf>
      <font>
        <b/>
        <i val="0"/>
        <strike val="0"/>
        <condense val="0"/>
        <extend val="0"/>
        <outline val="0"/>
        <shadow val="0"/>
        <u val="none"/>
        <vertAlign val="baseline"/>
        <sz val="9"/>
        <color auto="1"/>
        <name val="Arial"/>
        <family val="2"/>
        <scheme val="none"/>
      </font>
      <numFmt numFmtId="30" formatCode="@"/>
      <alignment horizontal="general" vertical="top" textRotation="0" wrapText="0" indent="0" justifyLastLine="0" shrinkToFit="0" readingOrder="0"/>
    </dxf>
    <dxf>
      <numFmt numFmtId="1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font>
        <b/>
        <i val="0"/>
        <strike val="0"/>
        <condense val="0"/>
        <extend val="0"/>
        <outline val="0"/>
        <shadow val="0"/>
        <u val="none"/>
        <vertAlign val="baseline"/>
        <sz val="9"/>
        <color auto="1"/>
        <name val="Arial"/>
        <family val="2"/>
        <scheme val="none"/>
      </font>
      <numFmt numFmtId="30" formatCode="@"/>
      <alignment horizontal="general" vertical="top" textRotation="0" wrapText="0"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font>
        <b/>
        <i val="0"/>
        <strike val="0"/>
        <condense val="0"/>
        <extend val="0"/>
        <outline val="0"/>
        <shadow val="0"/>
        <u val="none"/>
        <vertAlign val="baseline"/>
        <sz val="9"/>
        <color auto="1"/>
        <name val="Arial"/>
        <family val="2"/>
        <scheme val="none"/>
      </font>
      <numFmt numFmtId="30" formatCode="@"/>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auto="1"/>
        <name val="Arial"/>
        <family val="2"/>
        <scheme val="none"/>
      </font>
      <numFmt numFmtId="30" formatCode="@"/>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theme="1"/>
        <name val="Arial"/>
        <family val="2"/>
        <scheme val="none"/>
      </font>
    </dxf>
    <dxf>
      <border outline="0">
        <bottom style="thin">
          <color auto="1"/>
        </bottom>
      </border>
    </dxf>
    <dxf>
      <numFmt numFmtId="13" formatCode="0%"/>
    </dxf>
    <dxf>
      <border outline="0">
        <top style="thin">
          <color auto="1"/>
        </top>
        <bottom style="thin">
          <color auto="1"/>
        </bottom>
      </border>
    </dxf>
    <dxf>
      <border outline="0">
        <bottom style="thin">
          <color auto="1"/>
        </bottom>
      </border>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textRotation="0" wrapText="1" indent="0" justifyLastLine="0" shrinkToFit="0" readingOrder="0"/>
    </dxf>
    <dxf>
      <fill>
        <patternFill>
          <bgColor rgb="FFE8E8E8"/>
        </patternFill>
      </fill>
    </dxf>
    <dxf>
      <fill>
        <patternFill>
          <bgColor rgb="FFE8E8E8"/>
        </patternFill>
      </fill>
    </dxf>
    <dxf>
      <border>
        <left style="thin">
          <color auto="1"/>
        </left>
      </border>
    </dxf>
    <dxf>
      <font>
        <b/>
        <i val="0"/>
      </font>
      <border>
        <top style="thin">
          <color auto="1"/>
        </top>
        <bottom style="thin">
          <color auto="1"/>
        </bottom>
      </border>
    </dxf>
    <dxf>
      <font>
        <b/>
        <i val="0"/>
      </font>
      <border>
        <top style="thin">
          <color auto="1"/>
        </top>
        <bottom style="thin">
          <color auto="1"/>
        </bottom>
      </border>
    </dxf>
    <dxf>
      <border>
        <top style="thin">
          <color auto="1"/>
        </top>
        <bottom style="thin">
          <color auto="1"/>
        </bottom>
      </border>
    </dxf>
  </dxfs>
  <tableStyles count="1" defaultTableStyle="TableStyleMedium2" defaultPivotStyle="PivotStyleLight16">
    <tableStyle name="Kulturanalys tabellformat" pivot="0" count="6" xr9:uid="{F2D4BC46-C642-47B9-AD12-513B4E69E356}">
      <tableStyleElement type="wholeTable" dxfId="88"/>
      <tableStyleElement type="headerRow" dxfId="87"/>
      <tableStyleElement type="totalRow" dxfId="86"/>
      <tableStyleElement type="lastColumn" dxfId="85"/>
      <tableStyleElement type="firstRowStripe" dxfId="84"/>
      <tableStyleElement type="firstColumnStripe" dxfId="83"/>
    </tableStyle>
  </tableStyles>
  <colors>
    <mruColors>
      <color rgb="FFE8E8E8"/>
      <color rgb="FFCDE4E5"/>
      <color rgb="FFC6E0DE"/>
      <color rgb="FFC3E3E1"/>
      <color rgb="FFC6DCD9"/>
      <color rgb="FFD1E7E5"/>
      <color rgb="FFC3DB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1"/>
          <c:order val="1"/>
          <c:tx>
            <c:strRef>
              <c:f>'F2 Publik 2019 och 2020 '!$B$6</c:f>
              <c:strCache>
                <c:ptCount val="1"/>
                <c:pt idx="0">
                  <c:v>Egen- och samproduktion</c:v>
                </c:pt>
              </c:strCache>
            </c:strRef>
          </c:tx>
          <c:spPr>
            <a:solidFill>
              <a:srgbClr val="FFFFFF">
                <a:lumMod val="75000"/>
              </a:srgbClr>
            </a:solidFill>
            <a:ln w="3175">
              <a:noFill/>
            </a:ln>
            <a:effectLst/>
          </c:spPr>
          <c:invertIfNegative val="0"/>
          <c:cat>
            <c:numRef>
              <c:f>'F2 Publik 2019 och 2020 '!$A$7:$A$8</c:f>
              <c:numCache>
                <c:formatCode>General</c:formatCode>
                <c:ptCount val="2"/>
                <c:pt idx="0">
                  <c:v>2019</c:v>
                </c:pt>
                <c:pt idx="1">
                  <c:v>2020</c:v>
                </c:pt>
              </c:numCache>
            </c:numRef>
          </c:cat>
          <c:val>
            <c:numRef>
              <c:f>'F2 Publik 2019 och 2020 '!$B$7:$B$8</c:f>
              <c:numCache>
                <c:formatCode>#,##0</c:formatCode>
                <c:ptCount val="2"/>
                <c:pt idx="0">
                  <c:v>3603989</c:v>
                </c:pt>
                <c:pt idx="1">
                  <c:v>954161</c:v>
                </c:pt>
              </c:numCache>
            </c:numRef>
          </c:val>
          <c:extLst>
            <c:ext xmlns:c16="http://schemas.microsoft.com/office/drawing/2014/chart" uri="{C3380CC4-5D6E-409C-BE32-E72D297353CC}">
              <c16:uniqueId val="{00000001-2F4D-40FF-8729-50DB6CB5CC04}"/>
            </c:ext>
          </c:extLst>
        </c:ser>
        <c:ser>
          <c:idx val="2"/>
          <c:order val="2"/>
          <c:tx>
            <c:strRef>
              <c:f>'F2 Publik 2019 och 2020 '!$C$6</c:f>
              <c:strCache>
                <c:ptCount val="1"/>
                <c:pt idx="0">
                  <c:v>Gästspel</c:v>
                </c:pt>
              </c:strCache>
            </c:strRef>
          </c:tx>
          <c:spPr>
            <a:pattFill prst="ltHorz">
              <a:fgClr>
                <a:srgbClr val="FFFFFF"/>
              </a:fgClr>
              <a:bgClr>
                <a:srgbClr val="404040"/>
              </a:bgClr>
            </a:pattFill>
            <a:ln w="3175">
              <a:noFill/>
            </a:ln>
            <a:effectLst/>
          </c:spPr>
          <c:invertIfNegative val="0"/>
          <c:cat>
            <c:numRef>
              <c:f>'F2 Publik 2019 och 2020 '!$A$7:$A$8</c:f>
              <c:numCache>
                <c:formatCode>General</c:formatCode>
                <c:ptCount val="2"/>
                <c:pt idx="0">
                  <c:v>2019</c:v>
                </c:pt>
                <c:pt idx="1">
                  <c:v>2020</c:v>
                </c:pt>
              </c:numCache>
            </c:numRef>
          </c:cat>
          <c:val>
            <c:numRef>
              <c:f>'F2 Publik 2019 och 2020 '!$C$7:$C$8</c:f>
              <c:numCache>
                <c:formatCode>#,##0</c:formatCode>
                <c:ptCount val="2"/>
                <c:pt idx="0">
                  <c:v>744885</c:v>
                </c:pt>
                <c:pt idx="1">
                  <c:v>262271</c:v>
                </c:pt>
              </c:numCache>
            </c:numRef>
          </c:val>
          <c:extLst>
            <c:ext xmlns:c16="http://schemas.microsoft.com/office/drawing/2014/chart" uri="{C3380CC4-5D6E-409C-BE32-E72D297353CC}">
              <c16:uniqueId val="{00000002-2F4D-40FF-8729-50DB6CB5CC04}"/>
            </c:ext>
          </c:extLst>
        </c:ser>
        <c:dLbls>
          <c:showLegendKey val="0"/>
          <c:showVal val="0"/>
          <c:showCatName val="0"/>
          <c:showSerName val="0"/>
          <c:showPercent val="0"/>
          <c:showBubbleSize val="0"/>
        </c:dLbls>
        <c:gapWidth val="100"/>
        <c:overlap val="100"/>
        <c:axId val="869531791"/>
        <c:axId val="656137919"/>
        <c:extLst>
          <c:ext xmlns:c15="http://schemas.microsoft.com/office/drawing/2012/chart" uri="{02D57815-91ED-43cb-92C2-25804820EDAC}">
            <c15:filteredBarSeries>
              <c15:ser>
                <c:idx val="0"/>
                <c:order val="0"/>
                <c:tx>
                  <c:strRef>
                    <c:extLst>
                      <c:ext uri="{02D57815-91ED-43cb-92C2-25804820EDAC}">
                        <c15:formulaRef>
                          <c15:sqref>'F2 Publik 2019 och 2020 '!$A$6</c15:sqref>
                        </c15:formulaRef>
                      </c:ext>
                    </c:extLst>
                    <c:strCache>
                      <c:ptCount val="1"/>
                      <c:pt idx="0">
                        <c:v>År</c:v>
                      </c:pt>
                    </c:strCache>
                  </c:strRef>
                </c:tx>
                <c:spPr>
                  <a:pattFill prst="pct50">
                    <a:fgClr>
                      <a:srgbClr val="8C8C8C"/>
                    </a:fgClr>
                    <a:bgClr>
                      <a:schemeClr val="bg1"/>
                    </a:bgClr>
                  </a:pattFill>
                  <a:ln w="3175">
                    <a:solidFill>
                      <a:srgbClr val="8C8C8C"/>
                    </a:solidFill>
                  </a:ln>
                  <a:effectLst/>
                </c:spPr>
                <c:invertIfNegative val="0"/>
                <c:cat>
                  <c:numRef>
                    <c:extLst>
                      <c:ext uri="{02D57815-91ED-43cb-92C2-25804820EDAC}">
                        <c15:formulaRef>
                          <c15:sqref>'F2 Publik 2019 och 2020 '!$A$7:$A$8</c15:sqref>
                        </c15:formulaRef>
                      </c:ext>
                    </c:extLst>
                    <c:numCache>
                      <c:formatCode>General</c:formatCode>
                      <c:ptCount val="2"/>
                      <c:pt idx="0">
                        <c:v>2019</c:v>
                      </c:pt>
                      <c:pt idx="1">
                        <c:v>2020</c:v>
                      </c:pt>
                    </c:numCache>
                  </c:numRef>
                </c:cat>
                <c:val>
                  <c:numRef>
                    <c:extLst>
                      <c:ext uri="{02D57815-91ED-43cb-92C2-25804820EDAC}">
                        <c15:formulaRef>
                          <c15:sqref>'F2 Publik 2019 och 2020 '!$A$7:$A$8</c15:sqref>
                        </c15:formulaRef>
                      </c:ext>
                    </c:extLst>
                    <c:numCache>
                      <c:formatCode>General</c:formatCode>
                      <c:ptCount val="2"/>
                      <c:pt idx="0">
                        <c:v>2019</c:v>
                      </c:pt>
                      <c:pt idx="1">
                        <c:v>2020</c:v>
                      </c:pt>
                    </c:numCache>
                  </c:numRef>
                </c:val>
                <c:extLst>
                  <c:ext xmlns:c16="http://schemas.microsoft.com/office/drawing/2014/chart" uri="{C3380CC4-5D6E-409C-BE32-E72D297353CC}">
                    <c16:uniqueId val="{00000000-2F4D-40FF-8729-50DB6CB5CC04}"/>
                  </c:ext>
                </c:extLst>
              </c15:ser>
            </c15:filteredBarSeries>
          </c:ext>
        </c:extLst>
      </c:barChart>
      <c:catAx>
        <c:axId val="869531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scaling>
        <c:delete val="0"/>
        <c:axPos val="l"/>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valAx>
      <c:spPr>
        <a:noFill/>
        <a:ln>
          <a:solidFill>
            <a:srgbClr val="D9D9D9"/>
          </a:solidFill>
        </a:ln>
        <a:effectLst>
          <a:softEdge rad="635000"/>
        </a:effectLst>
      </c:spPr>
    </c:plotArea>
    <c:legend>
      <c:legendPos val="r"/>
      <c:overlay val="0"/>
      <c:spPr>
        <a:noFill/>
        <a:ln>
          <a:noFill/>
        </a:ln>
        <a:effectLst/>
      </c:spPr>
      <c:txPr>
        <a:bodyPr rot="0" spcFirstLastPara="1" vertOverflow="ellipsis" vert="horz" wrap="square" anchor="ctr" anchorCtr="1"/>
        <a:lstStyle/>
        <a:p>
          <a:pPr>
            <a:defRPr sz="13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'F12 Årsarbetskrafter 19 20'!$B$6</c:f>
              <c:strCache>
                <c:ptCount val="1"/>
                <c:pt idx="0">
                  <c:v>kvinnor</c:v>
                </c:pt>
              </c:strCache>
            </c:strRef>
          </c:tx>
          <c:spPr>
            <a:solidFill>
              <a:srgbClr val="FFFFFF">
                <a:lumMod val="5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'F12 Årsarbetskrafter 19 20'!$A$7:$A$8</c:f>
              <c:numCache>
                <c:formatCode>General</c:formatCode>
                <c:ptCount val="2"/>
                <c:pt idx="0">
                  <c:v>2019</c:v>
                </c:pt>
                <c:pt idx="1">
                  <c:v>2020</c:v>
                </c:pt>
              </c:numCache>
            </c:numRef>
          </c:cat>
          <c:val>
            <c:numRef>
              <c:f>'F12 Årsarbetskrafter 19 20'!$B$7:$B$8</c:f>
              <c:numCache>
                <c:formatCode>#,##0</c:formatCode>
                <c:ptCount val="2"/>
                <c:pt idx="0">
                  <c:v>3136.18</c:v>
                </c:pt>
                <c:pt idx="1">
                  <c:v>2457.6799999999998</c:v>
                </c:pt>
              </c:numCache>
            </c:numRef>
          </c:val>
          <c:extLst>
            <c:ext xmlns:c16="http://schemas.microsoft.com/office/drawing/2014/chart" uri="{C3380CC4-5D6E-409C-BE32-E72D297353CC}">
              <c16:uniqueId val="{00000000-20D5-4FA7-B0CE-A6F5ED25A009}"/>
            </c:ext>
          </c:extLst>
        </c:ser>
        <c:ser>
          <c:idx val="1"/>
          <c:order val="1"/>
          <c:tx>
            <c:strRef>
              <c:f>'F12 Årsarbetskrafter 19 20'!$C$6</c:f>
              <c:strCache>
                <c:ptCount val="1"/>
                <c:pt idx="0">
                  <c:v>män</c:v>
                </c:pt>
              </c:strCache>
            </c:strRef>
          </c:tx>
          <c:spPr>
            <a:solidFill>
              <a:srgbClr val="FFFFFF">
                <a:lumMod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'F12 Årsarbetskrafter 19 20'!$A$7:$A$8</c:f>
              <c:numCache>
                <c:formatCode>General</c:formatCode>
                <c:ptCount val="2"/>
                <c:pt idx="0">
                  <c:v>2019</c:v>
                </c:pt>
                <c:pt idx="1">
                  <c:v>2020</c:v>
                </c:pt>
              </c:numCache>
            </c:numRef>
          </c:cat>
          <c:val>
            <c:numRef>
              <c:f>'F12 Årsarbetskrafter 19 20'!$C$7:$C$8</c:f>
              <c:numCache>
                <c:formatCode>#,##0</c:formatCode>
                <c:ptCount val="2"/>
                <c:pt idx="0">
                  <c:v>2794.28</c:v>
                </c:pt>
                <c:pt idx="1">
                  <c:v>2194</c:v>
                </c:pt>
              </c:numCache>
            </c:numRef>
          </c:val>
          <c:extLst>
            <c:ext xmlns:c16="http://schemas.microsoft.com/office/drawing/2014/chart" uri="{C3380CC4-5D6E-409C-BE32-E72D297353CC}">
              <c16:uniqueId val="{00000001-20D5-4FA7-B0CE-A6F5ED25A009}"/>
            </c:ext>
          </c:extLst>
        </c:ser>
        <c:dLbls>
          <c:showLegendKey val="0"/>
          <c:showVal val="0"/>
          <c:showCatName val="0"/>
          <c:showSerName val="0"/>
          <c:showPercent val="0"/>
          <c:showBubbleSize val="0"/>
        </c:dLbls>
        <c:gapWidth val="100"/>
        <c:overlap val="100"/>
        <c:axId val="869531791"/>
        <c:axId val="656137919"/>
      </c:barChart>
      <c:catAx>
        <c:axId val="869531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scaling>
        <c:delete val="0"/>
        <c:axPos val="l"/>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valAx>
      <c:spPr>
        <a:noFill/>
        <a:ln>
          <a:solidFill>
            <a:srgbClr val="D9D9D9"/>
          </a:solidFill>
        </a:ln>
        <a:effectLst/>
      </c:spPr>
    </c:plotArea>
    <c:legend>
      <c:legendPos val="b"/>
      <c:overlay val="0"/>
      <c:spPr>
        <a:noFill/>
        <a:ln>
          <a:noFill/>
        </a:ln>
        <a:effectLst/>
      </c:spPr>
      <c:txPr>
        <a:bodyPr rot="0" spcFirstLastPara="1" vertOverflow="ellipsis" vert="horz" wrap="square" anchor="ctr" anchorCtr="1"/>
        <a:lstStyle/>
        <a:p>
          <a:pPr>
            <a:defRPr sz="13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tx>
            <c:strRef>
              <c:f>'F3 Publik 2020, varav barn'!$B$6</c:f>
              <c:strCache>
                <c:ptCount val="1"/>
                <c:pt idx="0">
                  <c:v>Antal</c:v>
                </c:pt>
              </c:strCache>
            </c:strRef>
          </c:tx>
          <c:spPr>
            <a:pattFill prst="pct50">
              <a:fgClr>
                <a:srgbClr val="8C8C8C"/>
              </a:fgClr>
              <a:bgClr>
                <a:schemeClr val="bg1"/>
              </a:bgClr>
            </a:pattFill>
            <a:ln w="3175">
              <a:solidFill>
                <a:srgbClr val="8C8C8C"/>
              </a:solidFill>
            </a:ln>
          </c:spPr>
          <c:explosion val="4"/>
          <c:dPt>
            <c:idx val="0"/>
            <c:bubble3D val="0"/>
            <c:spPr>
              <a:solidFill>
                <a:srgbClr val="FFFFFF">
                  <a:lumMod val="75000"/>
                </a:srgbClr>
              </a:solidFill>
              <a:ln w="3175">
                <a:solidFill>
                  <a:srgbClr val="404040"/>
                </a:solidFill>
              </a:ln>
              <a:effectLst/>
            </c:spPr>
            <c:extLst>
              <c:ext xmlns:c16="http://schemas.microsoft.com/office/drawing/2014/chart" uri="{C3380CC4-5D6E-409C-BE32-E72D297353CC}">
                <c16:uniqueId val="{00000019-E430-4ED0-A921-ABC46666050C}"/>
              </c:ext>
            </c:extLst>
          </c:dPt>
          <c:dPt>
            <c:idx val="1"/>
            <c:bubble3D val="0"/>
            <c:spPr>
              <a:pattFill prst="ltHorz">
                <a:fgClr>
                  <a:sysClr val="window" lastClr="FFFFFF"/>
                </a:fgClr>
                <a:bgClr>
                  <a:srgbClr val="404040"/>
                </a:bgClr>
              </a:pattFill>
              <a:ln w="3175">
                <a:solidFill>
                  <a:srgbClr val="404040"/>
                </a:solidFill>
              </a:ln>
              <a:effectLst/>
            </c:spPr>
            <c:extLst>
              <c:ext xmlns:c16="http://schemas.microsoft.com/office/drawing/2014/chart" uri="{C3380CC4-5D6E-409C-BE32-E72D297353CC}">
                <c16:uniqueId val="{0000001A-E430-4ED0-A921-ABC46666050C}"/>
              </c:ext>
            </c:extLst>
          </c:dPt>
          <c:dPt>
            <c:idx val="2"/>
            <c:bubble3D val="0"/>
            <c:spPr>
              <a:pattFill prst="ltUpDiag">
                <a:fgClr>
                  <a:sysClr val="window" lastClr="FFFFFF"/>
                </a:fgClr>
                <a:bgClr>
                  <a:srgbClr val="404040"/>
                </a:bgClr>
              </a:pattFill>
              <a:ln w="3175">
                <a:solidFill>
                  <a:srgbClr val="404040"/>
                </a:solidFill>
              </a:ln>
              <a:effectLst/>
            </c:spPr>
            <c:extLst>
              <c:ext xmlns:c16="http://schemas.microsoft.com/office/drawing/2014/chart" uri="{C3380CC4-5D6E-409C-BE32-E72D297353CC}">
                <c16:uniqueId val="{0000001B-E430-4ED0-A921-ABC46666050C}"/>
              </c:ext>
            </c:extLst>
          </c:dPt>
          <c:dPt>
            <c:idx val="3"/>
            <c:bubble3D val="0"/>
            <c:spPr>
              <a:pattFill prst="openDmnd">
                <a:fgClr>
                  <a:sysClr val="window" lastClr="FFFFFF"/>
                </a:fgClr>
                <a:bgClr>
                  <a:srgbClr val="8C8C8C"/>
                </a:bgClr>
              </a:pattFill>
              <a:ln w="3175">
                <a:solidFill>
                  <a:srgbClr val="8C8C8C"/>
                </a:solidFill>
              </a:ln>
              <a:effectLst/>
            </c:spPr>
            <c:extLst>
              <c:ext xmlns:c16="http://schemas.microsoft.com/office/drawing/2014/chart" uri="{C3380CC4-5D6E-409C-BE32-E72D297353CC}">
                <c16:uniqueId val="{0000001C-E430-4ED0-A921-ABC46666050C}"/>
              </c:ext>
            </c:extLst>
          </c:dPt>
          <c:dPt>
            <c:idx val="4"/>
            <c:bubble3D val="0"/>
            <c:spPr>
              <a:pattFill prst="pct30">
                <a:fgClr>
                  <a:srgbClr val="404040"/>
                </a:fgClr>
                <a:bgClr>
                  <a:sysClr val="window" lastClr="FFFFFF"/>
                </a:bgClr>
              </a:pattFill>
              <a:ln w="3175">
                <a:solidFill>
                  <a:srgbClr val="404040"/>
                </a:solidFill>
              </a:ln>
              <a:effectLst/>
            </c:spPr>
            <c:extLst>
              <c:ext xmlns:c16="http://schemas.microsoft.com/office/drawing/2014/chart" uri="{C3380CC4-5D6E-409C-BE32-E72D297353CC}">
                <c16:uniqueId val="{0000001D-E430-4ED0-A921-ABC46666050C}"/>
              </c:ext>
            </c:extLst>
          </c:dPt>
          <c:dPt>
            <c:idx val="5"/>
            <c:bubble3D val="0"/>
            <c:spPr>
              <a:pattFill prst="zigZag">
                <a:fgClr>
                  <a:sysClr val="window" lastClr="FFFFFF"/>
                </a:fgClr>
                <a:bgClr>
                  <a:srgbClr val="404040"/>
                </a:bgClr>
              </a:pattFill>
              <a:ln w="3175">
                <a:solidFill>
                  <a:srgbClr val="404040"/>
                </a:solidFill>
              </a:ln>
              <a:effectLst/>
            </c:spPr>
            <c:extLst>
              <c:ext xmlns:c16="http://schemas.microsoft.com/office/drawing/2014/chart" uri="{C3380CC4-5D6E-409C-BE32-E72D297353CC}">
                <c16:uniqueId val="{0000001E-E430-4ED0-A921-ABC46666050C}"/>
              </c:ext>
            </c:extLst>
          </c:dPt>
          <c:dPt>
            <c:idx val="6"/>
            <c:bubble3D val="0"/>
            <c:spPr>
              <a:pattFill prst="narHorz">
                <a:fgClr>
                  <a:srgbClr val="8C8C8C"/>
                </a:fgClr>
                <a:bgClr>
                  <a:sysClr val="window" lastClr="FFFFFF"/>
                </a:bgClr>
              </a:pattFill>
              <a:ln w="3175">
                <a:solidFill>
                  <a:srgbClr val="8C8C8C"/>
                </a:solidFill>
              </a:ln>
              <a:effectLst/>
            </c:spPr>
            <c:extLst>
              <c:ext xmlns:c16="http://schemas.microsoft.com/office/drawing/2014/chart" uri="{C3380CC4-5D6E-409C-BE32-E72D297353CC}">
                <c16:uniqueId val="{0000001F-E430-4ED0-A921-ABC46666050C}"/>
              </c:ext>
            </c:extLst>
          </c:dPt>
          <c:dPt>
            <c:idx val="7"/>
            <c:bubble3D val="0"/>
            <c:spPr>
              <a:pattFill prst="trellis">
                <a:fgClr>
                  <a:srgbClr val="404040"/>
                </a:fgClr>
                <a:bgClr>
                  <a:sysClr val="window" lastClr="FFFFFF"/>
                </a:bgClr>
              </a:pattFill>
              <a:ln w="3175">
                <a:solidFill>
                  <a:srgbClr val="404040"/>
                </a:solidFill>
              </a:ln>
              <a:effectLst/>
            </c:spPr>
            <c:extLst>
              <c:ext xmlns:c16="http://schemas.microsoft.com/office/drawing/2014/chart" uri="{C3380CC4-5D6E-409C-BE32-E72D297353CC}">
                <c16:uniqueId val="{00000020-E430-4ED0-A921-ABC46666050C}"/>
              </c:ext>
            </c:extLst>
          </c:dPt>
          <c:dPt>
            <c:idx val="8"/>
            <c:bubble3D val="0"/>
            <c:spPr>
              <a:pattFill prst="dkDnDiag">
                <a:fgClr>
                  <a:srgbClr val="8C8C8C"/>
                </a:fgClr>
                <a:bgClr>
                  <a:sysClr val="window" lastClr="FFFFFF"/>
                </a:bgClr>
              </a:pattFill>
              <a:ln w="3175">
                <a:solidFill>
                  <a:srgbClr val="8C8C8C"/>
                </a:solidFill>
              </a:ln>
              <a:effectLst/>
            </c:spPr>
            <c:extLst>
              <c:ext xmlns:c16="http://schemas.microsoft.com/office/drawing/2014/chart" uri="{C3380CC4-5D6E-409C-BE32-E72D297353CC}">
                <c16:uniqueId val="{00000021-E430-4ED0-A921-ABC46666050C}"/>
              </c:ext>
            </c:extLst>
          </c:dPt>
          <c:dPt>
            <c:idx val="9"/>
            <c:bubble3D val="0"/>
            <c:spPr>
              <a:pattFill prst="pct80">
                <a:fgClr>
                  <a:srgbClr val="404040"/>
                </a:fgClr>
                <a:bgClr>
                  <a:sysClr val="window" lastClr="FFFFFF"/>
                </a:bgClr>
              </a:pattFill>
              <a:ln w="3175">
                <a:solidFill>
                  <a:srgbClr val="404040"/>
                </a:solidFill>
              </a:ln>
              <a:effectLst/>
            </c:spPr>
            <c:extLst>
              <c:ext xmlns:c16="http://schemas.microsoft.com/office/drawing/2014/chart" uri="{C3380CC4-5D6E-409C-BE32-E72D297353CC}">
                <c16:uniqueId val="{00000022-E430-4ED0-A921-ABC46666050C}"/>
              </c:ext>
            </c:extLst>
          </c:dPt>
          <c:dPt>
            <c:idx val="10"/>
            <c:bubble3D val="0"/>
            <c:spPr>
              <a:pattFill prst="ltVert">
                <a:fgClr>
                  <a:sysClr val="window" lastClr="FFFFFF"/>
                </a:fgClr>
                <a:bgClr>
                  <a:srgbClr val="404040"/>
                </a:bgClr>
              </a:pattFill>
              <a:ln w="3175">
                <a:solidFill>
                  <a:srgbClr val="404040"/>
                </a:solidFill>
              </a:ln>
              <a:effectLst/>
            </c:spPr>
            <c:extLst>
              <c:ext xmlns:c16="http://schemas.microsoft.com/office/drawing/2014/chart" uri="{C3380CC4-5D6E-409C-BE32-E72D297353CC}">
                <c16:uniqueId val="{00000023-E430-4ED0-A921-ABC46666050C}"/>
              </c:ext>
            </c:extLst>
          </c:dPt>
          <c:dPt>
            <c:idx val="11"/>
            <c:bubble3D val="0"/>
            <c:spPr>
              <a:pattFill prst="narVert">
                <a:fgClr>
                  <a:srgbClr val="8C8C8C"/>
                </a:fgClr>
                <a:bgClr>
                  <a:sysClr val="window" lastClr="FFFFFF"/>
                </a:bgClr>
              </a:pattFill>
              <a:ln w="3175">
                <a:solidFill>
                  <a:srgbClr val="8C8C8C"/>
                </a:solidFill>
              </a:ln>
              <a:effectLst/>
            </c:spPr>
            <c:extLst>
              <c:ext xmlns:c16="http://schemas.microsoft.com/office/drawing/2014/chart" uri="{C3380CC4-5D6E-409C-BE32-E72D297353CC}">
                <c16:uniqueId val="{00000024-E430-4ED0-A921-ABC46666050C}"/>
              </c:ext>
            </c:extLst>
          </c:dPt>
          <c:dLbls>
            <c:dLbl>
              <c:idx val="0"/>
              <c:delete val="1"/>
              <c:extLst>
                <c:ext xmlns:c15="http://schemas.microsoft.com/office/drawing/2012/chart" uri="{CE6537A1-D6FC-4f65-9D91-7224C49458BB}"/>
                <c:ext xmlns:c16="http://schemas.microsoft.com/office/drawing/2014/chart" uri="{C3380CC4-5D6E-409C-BE32-E72D297353CC}">
                  <c16:uniqueId val="{00000019-E430-4ED0-A921-ABC46666050C}"/>
                </c:ext>
              </c:extLst>
            </c:dLbl>
            <c:dLbl>
              <c:idx val="1"/>
              <c:layout>
                <c:manualLayout>
                  <c:x val="-3.3454286964129484E-2"/>
                  <c:y val="-2.6563502478856832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A-E430-4ED0-A921-ABC46666050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sv-SE"/>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'F3 Publik 2020, varav barn'!$A$7:$A$8</c:f>
              <c:strCache>
                <c:ptCount val="2"/>
                <c:pt idx="0">
                  <c:v>Vuxna*</c:v>
                </c:pt>
                <c:pt idx="1">
                  <c:v>Barn</c:v>
                </c:pt>
              </c:strCache>
            </c:strRef>
          </c:cat>
          <c:val>
            <c:numRef>
              <c:f>'F3 Publik 2020, varav barn'!$B$7:$B$8</c:f>
              <c:numCache>
                <c:formatCode>#,##0</c:formatCode>
                <c:ptCount val="2"/>
                <c:pt idx="0">
                  <c:v>870068</c:v>
                </c:pt>
                <c:pt idx="1">
                  <c:v>346364</c:v>
                </c:pt>
              </c:numCache>
            </c:numRef>
          </c:val>
          <c:extLst>
            <c:ext xmlns:c16="http://schemas.microsoft.com/office/drawing/2014/chart" uri="{C3380CC4-5D6E-409C-BE32-E72D297353CC}">
              <c16:uniqueId val="{00000000-ACA7-4AC8-8A19-8BF68615E7A8}"/>
            </c:ext>
          </c:extLst>
        </c:ser>
        <c:ser>
          <c:idx val="1"/>
          <c:order val="1"/>
          <c:tx>
            <c:strRef>
              <c:f>'F3 Publik 2020, varav barn'!$C$6</c:f>
              <c:strCache>
                <c:ptCount val="1"/>
                <c:pt idx="0">
                  <c:v>Procent</c:v>
                </c:pt>
              </c:strCache>
            </c:strRef>
          </c:tx>
          <c:spPr>
            <a:pattFill prst="ltHorz">
              <a:fgClr>
                <a:schemeClr val="bg1"/>
              </a:fgClr>
              <a:bgClr>
                <a:srgbClr val="404040"/>
              </a:bgClr>
            </a:pattFill>
            <a:ln w="3175">
              <a:solidFill>
                <a:srgbClr val="404040"/>
              </a:solidFill>
            </a:ln>
          </c:spPr>
          <c:dPt>
            <c:idx val="0"/>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1D-720F-47A4-A377-F1DF91CA35A2}"/>
              </c:ext>
            </c:extLst>
          </c:dPt>
          <c:dPt>
            <c:idx val="1"/>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1F-720F-47A4-A377-F1DF91CA35A2}"/>
              </c:ext>
            </c:extLst>
          </c:dPt>
          <c:dPt>
            <c:idx val="2"/>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1-720F-47A4-A377-F1DF91CA35A2}"/>
              </c:ext>
            </c:extLst>
          </c:dPt>
          <c:dPt>
            <c:idx val="3"/>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3-720F-47A4-A377-F1DF91CA35A2}"/>
              </c:ext>
            </c:extLst>
          </c:dPt>
          <c:dPt>
            <c:idx val="4"/>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5-720F-47A4-A377-F1DF91CA35A2}"/>
              </c:ext>
            </c:extLst>
          </c:dPt>
          <c:dPt>
            <c:idx val="5"/>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7-720F-47A4-A377-F1DF91CA35A2}"/>
              </c:ext>
            </c:extLst>
          </c:dPt>
          <c:dPt>
            <c:idx val="6"/>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9-720F-47A4-A377-F1DF91CA35A2}"/>
              </c:ext>
            </c:extLst>
          </c:dPt>
          <c:dPt>
            <c:idx val="7"/>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B-720F-47A4-A377-F1DF91CA35A2}"/>
              </c:ext>
            </c:extLst>
          </c:dPt>
          <c:dPt>
            <c:idx val="8"/>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D-720F-47A4-A377-F1DF91CA35A2}"/>
              </c:ext>
            </c:extLst>
          </c:dPt>
          <c:dPt>
            <c:idx val="9"/>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F-720F-47A4-A377-F1DF91CA35A2}"/>
              </c:ext>
            </c:extLst>
          </c:dPt>
          <c:dPt>
            <c:idx val="10"/>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31-720F-47A4-A377-F1DF91CA35A2}"/>
              </c:ext>
            </c:extLst>
          </c:dPt>
          <c:dPt>
            <c:idx val="11"/>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33-720F-47A4-A377-F1DF91CA35A2}"/>
              </c:ext>
            </c:extLst>
          </c:dPt>
          <c:cat>
            <c:strRef>
              <c:f>'F3 Publik 2020, varav barn'!$A$7:$A$8</c:f>
              <c:strCache>
                <c:ptCount val="2"/>
                <c:pt idx="0">
                  <c:v>Vuxna*</c:v>
                </c:pt>
                <c:pt idx="1">
                  <c:v>Barn</c:v>
                </c:pt>
              </c:strCache>
            </c:strRef>
          </c:cat>
          <c:val>
            <c:numRef>
              <c:f>'F3 Publik 2020, varav barn'!$C$7:$C$8</c:f>
              <c:numCache>
                <c:formatCode>0%</c:formatCode>
                <c:ptCount val="2"/>
                <c:pt idx="0">
                  <c:v>0.71526234101043051</c:v>
                </c:pt>
                <c:pt idx="1">
                  <c:v>0.28473765898956949</c:v>
                </c:pt>
              </c:numCache>
            </c:numRef>
          </c:val>
          <c:extLst>
            <c:ext xmlns:c16="http://schemas.microsoft.com/office/drawing/2014/chart" uri="{C3380CC4-5D6E-409C-BE32-E72D297353CC}">
              <c16:uniqueId val="{00000001-ACA7-4AC8-8A19-8BF68615E7A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1"/>
          <c:order val="1"/>
          <c:tx>
            <c:strRef>
              <c:f>'F4 Föreställningar 19 20'!$B$6</c:f>
              <c:strCache>
                <c:ptCount val="1"/>
                <c:pt idx="0">
                  <c:v>Egen- och samproduktion</c:v>
                </c:pt>
              </c:strCache>
            </c:strRef>
          </c:tx>
          <c:spPr>
            <a:solidFill>
              <a:srgbClr val="FFFFFF">
                <a:lumMod val="75000"/>
              </a:srgbClr>
            </a:solidFill>
            <a:ln w="3175">
              <a:noFill/>
            </a:ln>
            <a:effectLst/>
          </c:spPr>
          <c:invertIfNegative val="0"/>
          <c:cat>
            <c:numRef>
              <c:f>'F4 Föreställningar 19 20'!$A$7:$A$8</c:f>
              <c:numCache>
                <c:formatCode>General</c:formatCode>
                <c:ptCount val="2"/>
                <c:pt idx="0">
                  <c:v>2019</c:v>
                </c:pt>
                <c:pt idx="1">
                  <c:v>2020</c:v>
                </c:pt>
              </c:numCache>
            </c:numRef>
          </c:cat>
          <c:val>
            <c:numRef>
              <c:f>'F4 Föreställningar 19 20'!$B$7:$B$8</c:f>
              <c:numCache>
                <c:formatCode>#,##0</c:formatCode>
                <c:ptCount val="2"/>
                <c:pt idx="0">
                  <c:v>19521</c:v>
                </c:pt>
                <c:pt idx="1">
                  <c:v>10009</c:v>
                </c:pt>
              </c:numCache>
            </c:numRef>
          </c:val>
          <c:extLst>
            <c:ext xmlns:c16="http://schemas.microsoft.com/office/drawing/2014/chart" uri="{C3380CC4-5D6E-409C-BE32-E72D297353CC}">
              <c16:uniqueId val="{00000001-2F4D-40FF-8729-50DB6CB5CC04}"/>
            </c:ext>
          </c:extLst>
        </c:ser>
        <c:ser>
          <c:idx val="2"/>
          <c:order val="2"/>
          <c:tx>
            <c:strRef>
              <c:f>'F4 Föreställningar 19 20'!$C$6</c:f>
              <c:strCache>
                <c:ptCount val="1"/>
                <c:pt idx="0">
                  <c:v>Gästspel</c:v>
                </c:pt>
              </c:strCache>
            </c:strRef>
          </c:tx>
          <c:spPr>
            <a:pattFill prst="ltHorz">
              <a:fgClr>
                <a:srgbClr val="FFFFFF"/>
              </a:fgClr>
              <a:bgClr>
                <a:srgbClr val="404040"/>
              </a:bgClr>
            </a:pattFill>
            <a:ln w="3175">
              <a:noFill/>
            </a:ln>
            <a:effectLst/>
          </c:spPr>
          <c:invertIfNegative val="0"/>
          <c:cat>
            <c:numRef>
              <c:f>'F4 Föreställningar 19 20'!$A$7:$A$8</c:f>
              <c:numCache>
                <c:formatCode>General</c:formatCode>
                <c:ptCount val="2"/>
                <c:pt idx="0">
                  <c:v>2019</c:v>
                </c:pt>
                <c:pt idx="1">
                  <c:v>2020</c:v>
                </c:pt>
              </c:numCache>
            </c:numRef>
          </c:cat>
          <c:val>
            <c:numRef>
              <c:f>'F4 Föreställningar 19 20'!$C$7:$C$8</c:f>
              <c:numCache>
                <c:formatCode>#,##0</c:formatCode>
                <c:ptCount val="2"/>
                <c:pt idx="0">
                  <c:v>6478</c:v>
                </c:pt>
                <c:pt idx="1">
                  <c:v>3748</c:v>
                </c:pt>
              </c:numCache>
            </c:numRef>
          </c:val>
          <c:extLst>
            <c:ext xmlns:c16="http://schemas.microsoft.com/office/drawing/2014/chart" uri="{C3380CC4-5D6E-409C-BE32-E72D297353CC}">
              <c16:uniqueId val="{00000002-2F4D-40FF-8729-50DB6CB5CC04}"/>
            </c:ext>
          </c:extLst>
        </c:ser>
        <c:dLbls>
          <c:showLegendKey val="0"/>
          <c:showVal val="0"/>
          <c:showCatName val="0"/>
          <c:showSerName val="0"/>
          <c:showPercent val="0"/>
          <c:showBubbleSize val="0"/>
        </c:dLbls>
        <c:gapWidth val="100"/>
        <c:overlap val="100"/>
        <c:axId val="869531791"/>
        <c:axId val="656137919"/>
        <c:extLst>
          <c:ext xmlns:c15="http://schemas.microsoft.com/office/drawing/2012/chart" uri="{02D57815-91ED-43cb-92C2-25804820EDAC}">
            <c15:filteredBarSeries>
              <c15:ser>
                <c:idx val="0"/>
                <c:order val="0"/>
                <c:tx>
                  <c:strRef>
                    <c:extLst>
                      <c:ext uri="{02D57815-91ED-43cb-92C2-25804820EDAC}">
                        <c15:formulaRef>
                          <c15:sqref>'F4 Föreställningar 19 20'!$A$6</c15:sqref>
                        </c15:formulaRef>
                      </c:ext>
                    </c:extLst>
                    <c:strCache>
                      <c:ptCount val="1"/>
                      <c:pt idx="0">
                        <c:v>År</c:v>
                      </c:pt>
                    </c:strCache>
                  </c:strRef>
                </c:tx>
                <c:spPr>
                  <a:pattFill prst="pct50">
                    <a:fgClr>
                      <a:srgbClr val="8C8C8C"/>
                    </a:fgClr>
                    <a:bgClr>
                      <a:schemeClr val="bg1"/>
                    </a:bgClr>
                  </a:pattFill>
                  <a:ln w="3175">
                    <a:solidFill>
                      <a:srgbClr val="8C8C8C"/>
                    </a:solidFill>
                  </a:ln>
                  <a:effectLst/>
                </c:spPr>
                <c:invertIfNegative val="0"/>
                <c:cat>
                  <c:numRef>
                    <c:extLst>
                      <c:ext uri="{02D57815-91ED-43cb-92C2-25804820EDAC}">
                        <c15:formulaRef>
                          <c15:sqref>'F4 Föreställningar 19 20'!$A$7:$A$8</c15:sqref>
                        </c15:formulaRef>
                      </c:ext>
                    </c:extLst>
                    <c:numCache>
                      <c:formatCode>General</c:formatCode>
                      <c:ptCount val="2"/>
                      <c:pt idx="0">
                        <c:v>2019</c:v>
                      </c:pt>
                      <c:pt idx="1">
                        <c:v>2020</c:v>
                      </c:pt>
                    </c:numCache>
                  </c:numRef>
                </c:cat>
                <c:val>
                  <c:numRef>
                    <c:extLst>
                      <c:ext uri="{02D57815-91ED-43cb-92C2-25804820EDAC}">
                        <c15:formulaRef>
                          <c15:sqref>'F4 Föreställningar 19 20'!$A$7:$A$8</c15:sqref>
                        </c15:formulaRef>
                      </c:ext>
                    </c:extLst>
                    <c:numCache>
                      <c:formatCode>General</c:formatCode>
                      <c:ptCount val="2"/>
                      <c:pt idx="0">
                        <c:v>2019</c:v>
                      </c:pt>
                      <c:pt idx="1">
                        <c:v>2020</c:v>
                      </c:pt>
                    </c:numCache>
                  </c:numRef>
                </c:val>
                <c:extLst>
                  <c:ext xmlns:c16="http://schemas.microsoft.com/office/drawing/2014/chart" uri="{C3380CC4-5D6E-409C-BE32-E72D297353CC}">
                    <c16:uniqueId val="{00000000-2F4D-40FF-8729-50DB6CB5CC04}"/>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'F4 Föreställningar 19 20'!$D$6</c15:sqref>
                        </c15:formulaRef>
                      </c:ext>
                    </c:extLst>
                    <c:strCache>
                      <c:ptCount val="1"/>
                      <c:pt idx="0">
                        <c:v>Totalt</c:v>
                      </c:pt>
                    </c:strCache>
                  </c:strRef>
                </c:tx>
                <c:spPr>
                  <a:solidFill>
                    <a:srgbClr val="231F20"/>
                  </a:solidFill>
                  <a:ln w="3175">
                    <a:noFill/>
                  </a:ln>
                  <a:effectLst/>
                </c:spPr>
                <c:invertIfNegative val="0"/>
                <c:cat>
                  <c:numRef>
                    <c:extLst xmlns:c15="http://schemas.microsoft.com/office/drawing/2012/chart">
                      <c:ext xmlns:c15="http://schemas.microsoft.com/office/drawing/2012/chart" uri="{02D57815-91ED-43cb-92C2-25804820EDAC}">
                        <c15:formulaRef>
                          <c15:sqref>'F4 Föreställningar 19 20'!$A$7:$A$8</c15:sqref>
                        </c15:formulaRef>
                      </c:ext>
                    </c:extLst>
                    <c:numCache>
                      <c:formatCode>General</c:formatCode>
                      <c:ptCount val="2"/>
                      <c:pt idx="0">
                        <c:v>2019</c:v>
                      </c:pt>
                      <c:pt idx="1">
                        <c:v>2020</c:v>
                      </c:pt>
                    </c:numCache>
                  </c:numRef>
                </c:cat>
                <c:val>
                  <c:numRef>
                    <c:extLst xmlns:c15="http://schemas.microsoft.com/office/drawing/2012/chart">
                      <c:ext xmlns:c15="http://schemas.microsoft.com/office/drawing/2012/chart" uri="{02D57815-91ED-43cb-92C2-25804820EDAC}">
                        <c15:formulaRef>
                          <c15:sqref>'F4 Föreställningar 19 20'!$D$7:$D$8</c15:sqref>
                        </c15:formulaRef>
                      </c:ext>
                    </c:extLst>
                    <c:numCache>
                      <c:formatCode>#,##0</c:formatCode>
                      <c:ptCount val="2"/>
                      <c:pt idx="0">
                        <c:v>25999</c:v>
                      </c:pt>
                      <c:pt idx="1">
                        <c:v>13757</c:v>
                      </c:pt>
                    </c:numCache>
                  </c:numRef>
                </c:val>
                <c:extLst xmlns:c15="http://schemas.microsoft.com/office/drawing/2012/chart">
                  <c:ext xmlns:c16="http://schemas.microsoft.com/office/drawing/2014/chart" uri="{C3380CC4-5D6E-409C-BE32-E72D297353CC}">
                    <c16:uniqueId val="{00000003-2F4D-40FF-8729-50DB6CB5CC04}"/>
                  </c:ext>
                </c:extLst>
              </c15:ser>
            </c15:filteredBarSeries>
          </c:ext>
        </c:extLst>
      </c:barChart>
      <c:catAx>
        <c:axId val="869531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scaling>
        <c:delete val="0"/>
        <c:axPos val="l"/>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valAx>
      <c:spPr>
        <a:noFill/>
        <a:ln>
          <a:solidFill>
            <a:srgbClr val="D9D9D9"/>
          </a:solidFill>
        </a:ln>
        <a:effectLst/>
      </c:spPr>
    </c:plotArea>
    <c:legend>
      <c:legendPos val="r"/>
      <c:overlay val="0"/>
      <c:spPr>
        <a:noFill/>
        <a:ln>
          <a:noFill/>
        </a:ln>
        <a:effectLst/>
      </c:spPr>
      <c:txPr>
        <a:bodyPr rot="0" spcFirstLastPara="1" vertOverflow="ellipsis" vert="horz" wrap="square" anchor="ctr" anchorCtr="1"/>
        <a:lstStyle/>
        <a:p>
          <a:pPr>
            <a:defRPr sz="13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tx>
            <c:strRef>
              <c:f>'F5 Varav barn 2020'!$B$6</c:f>
              <c:strCache>
                <c:ptCount val="1"/>
                <c:pt idx="0">
                  <c:v>Antal</c:v>
                </c:pt>
              </c:strCache>
            </c:strRef>
          </c:tx>
          <c:spPr>
            <a:pattFill prst="pct50">
              <a:fgClr>
                <a:srgbClr val="8C8C8C"/>
              </a:fgClr>
              <a:bgClr>
                <a:schemeClr val="bg1"/>
              </a:bgClr>
            </a:pattFill>
            <a:ln w="3175">
              <a:solidFill>
                <a:srgbClr val="8C8C8C"/>
              </a:solidFill>
            </a:ln>
          </c:spPr>
          <c:explosion val="4"/>
          <c:dPt>
            <c:idx val="0"/>
            <c:bubble3D val="0"/>
            <c:spPr>
              <a:solidFill>
                <a:srgbClr val="FFFFFF">
                  <a:lumMod val="75000"/>
                </a:srgbClr>
              </a:solidFill>
              <a:ln w="3175">
                <a:solidFill>
                  <a:srgbClr val="404040"/>
                </a:solidFill>
              </a:ln>
              <a:effectLst/>
            </c:spPr>
            <c:extLst>
              <c:ext xmlns:c16="http://schemas.microsoft.com/office/drawing/2014/chart" uri="{C3380CC4-5D6E-409C-BE32-E72D297353CC}">
                <c16:uniqueId val="{00000001-922D-46B3-B64C-B53DE170B275}"/>
              </c:ext>
            </c:extLst>
          </c:dPt>
          <c:dPt>
            <c:idx val="1"/>
            <c:bubble3D val="0"/>
            <c:spPr>
              <a:pattFill prst="ltHorz">
                <a:fgClr>
                  <a:sysClr val="window" lastClr="FFFFFF"/>
                </a:fgClr>
                <a:bgClr>
                  <a:srgbClr val="404040"/>
                </a:bgClr>
              </a:pattFill>
              <a:ln w="3175">
                <a:solidFill>
                  <a:srgbClr val="404040"/>
                </a:solidFill>
              </a:ln>
              <a:effectLst/>
            </c:spPr>
            <c:extLst>
              <c:ext xmlns:c16="http://schemas.microsoft.com/office/drawing/2014/chart" uri="{C3380CC4-5D6E-409C-BE32-E72D297353CC}">
                <c16:uniqueId val="{00000003-922D-46B3-B64C-B53DE170B275}"/>
              </c:ext>
            </c:extLst>
          </c:dPt>
          <c:dPt>
            <c:idx val="2"/>
            <c:bubble3D val="0"/>
            <c:spPr>
              <a:pattFill prst="ltUpDiag">
                <a:fgClr>
                  <a:sysClr val="window" lastClr="FFFFFF"/>
                </a:fgClr>
                <a:bgClr>
                  <a:srgbClr val="404040"/>
                </a:bgClr>
              </a:pattFill>
              <a:ln w="3175">
                <a:solidFill>
                  <a:srgbClr val="404040"/>
                </a:solidFill>
              </a:ln>
              <a:effectLst/>
            </c:spPr>
            <c:extLst>
              <c:ext xmlns:c16="http://schemas.microsoft.com/office/drawing/2014/chart" uri="{C3380CC4-5D6E-409C-BE32-E72D297353CC}">
                <c16:uniqueId val="{00000005-922D-46B3-B64C-B53DE170B275}"/>
              </c:ext>
            </c:extLst>
          </c:dPt>
          <c:dPt>
            <c:idx val="3"/>
            <c:bubble3D val="0"/>
            <c:spPr>
              <a:pattFill prst="openDmnd">
                <a:fgClr>
                  <a:sysClr val="window" lastClr="FFFFFF"/>
                </a:fgClr>
                <a:bgClr>
                  <a:srgbClr val="8C8C8C"/>
                </a:bgClr>
              </a:pattFill>
              <a:ln w="3175">
                <a:solidFill>
                  <a:srgbClr val="8C8C8C"/>
                </a:solidFill>
              </a:ln>
              <a:effectLst/>
            </c:spPr>
            <c:extLst>
              <c:ext xmlns:c16="http://schemas.microsoft.com/office/drawing/2014/chart" uri="{C3380CC4-5D6E-409C-BE32-E72D297353CC}">
                <c16:uniqueId val="{00000007-922D-46B3-B64C-B53DE170B275}"/>
              </c:ext>
            </c:extLst>
          </c:dPt>
          <c:dPt>
            <c:idx val="4"/>
            <c:bubble3D val="0"/>
            <c:spPr>
              <a:pattFill prst="pct30">
                <a:fgClr>
                  <a:srgbClr val="404040"/>
                </a:fgClr>
                <a:bgClr>
                  <a:sysClr val="window" lastClr="FFFFFF"/>
                </a:bgClr>
              </a:pattFill>
              <a:ln w="3175">
                <a:solidFill>
                  <a:srgbClr val="404040"/>
                </a:solidFill>
              </a:ln>
              <a:effectLst/>
            </c:spPr>
            <c:extLst>
              <c:ext xmlns:c16="http://schemas.microsoft.com/office/drawing/2014/chart" uri="{C3380CC4-5D6E-409C-BE32-E72D297353CC}">
                <c16:uniqueId val="{00000009-922D-46B3-B64C-B53DE170B275}"/>
              </c:ext>
            </c:extLst>
          </c:dPt>
          <c:dPt>
            <c:idx val="5"/>
            <c:bubble3D val="0"/>
            <c:spPr>
              <a:pattFill prst="zigZag">
                <a:fgClr>
                  <a:sysClr val="window" lastClr="FFFFFF"/>
                </a:fgClr>
                <a:bgClr>
                  <a:srgbClr val="404040"/>
                </a:bgClr>
              </a:pattFill>
              <a:ln w="3175">
                <a:solidFill>
                  <a:srgbClr val="404040"/>
                </a:solidFill>
              </a:ln>
              <a:effectLst/>
            </c:spPr>
            <c:extLst>
              <c:ext xmlns:c16="http://schemas.microsoft.com/office/drawing/2014/chart" uri="{C3380CC4-5D6E-409C-BE32-E72D297353CC}">
                <c16:uniqueId val="{0000000B-922D-46B3-B64C-B53DE170B275}"/>
              </c:ext>
            </c:extLst>
          </c:dPt>
          <c:dPt>
            <c:idx val="6"/>
            <c:bubble3D val="0"/>
            <c:spPr>
              <a:pattFill prst="narHorz">
                <a:fgClr>
                  <a:srgbClr val="8C8C8C"/>
                </a:fgClr>
                <a:bgClr>
                  <a:sysClr val="window" lastClr="FFFFFF"/>
                </a:bgClr>
              </a:pattFill>
              <a:ln w="3175">
                <a:solidFill>
                  <a:srgbClr val="8C8C8C"/>
                </a:solidFill>
              </a:ln>
              <a:effectLst/>
            </c:spPr>
            <c:extLst>
              <c:ext xmlns:c16="http://schemas.microsoft.com/office/drawing/2014/chart" uri="{C3380CC4-5D6E-409C-BE32-E72D297353CC}">
                <c16:uniqueId val="{0000000D-922D-46B3-B64C-B53DE170B275}"/>
              </c:ext>
            </c:extLst>
          </c:dPt>
          <c:dPt>
            <c:idx val="7"/>
            <c:bubble3D val="0"/>
            <c:spPr>
              <a:pattFill prst="trellis">
                <a:fgClr>
                  <a:srgbClr val="404040"/>
                </a:fgClr>
                <a:bgClr>
                  <a:sysClr val="window" lastClr="FFFFFF"/>
                </a:bgClr>
              </a:pattFill>
              <a:ln w="3175">
                <a:solidFill>
                  <a:srgbClr val="404040"/>
                </a:solidFill>
              </a:ln>
              <a:effectLst/>
            </c:spPr>
            <c:extLst>
              <c:ext xmlns:c16="http://schemas.microsoft.com/office/drawing/2014/chart" uri="{C3380CC4-5D6E-409C-BE32-E72D297353CC}">
                <c16:uniqueId val="{0000000F-922D-46B3-B64C-B53DE170B275}"/>
              </c:ext>
            </c:extLst>
          </c:dPt>
          <c:dPt>
            <c:idx val="8"/>
            <c:bubble3D val="0"/>
            <c:spPr>
              <a:pattFill prst="dkDnDiag">
                <a:fgClr>
                  <a:srgbClr val="8C8C8C"/>
                </a:fgClr>
                <a:bgClr>
                  <a:sysClr val="window" lastClr="FFFFFF"/>
                </a:bgClr>
              </a:pattFill>
              <a:ln w="3175">
                <a:solidFill>
                  <a:srgbClr val="8C8C8C"/>
                </a:solidFill>
              </a:ln>
              <a:effectLst/>
            </c:spPr>
            <c:extLst>
              <c:ext xmlns:c16="http://schemas.microsoft.com/office/drawing/2014/chart" uri="{C3380CC4-5D6E-409C-BE32-E72D297353CC}">
                <c16:uniqueId val="{00000011-922D-46B3-B64C-B53DE170B275}"/>
              </c:ext>
            </c:extLst>
          </c:dPt>
          <c:dPt>
            <c:idx val="9"/>
            <c:bubble3D val="0"/>
            <c:spPr>
              <a:pattFill prst="pct80">
                <a:fgClr>
                  <a:srgbClr val="404040"/>
                </a:fgClr>
                <a:bgClr>
                  <a:sysClr val="window" lastClr="FFFFFF"/>
                </a:bgClr>
              </a:pattFill>
              <a:ln w="3175">
                <a:solidFill>
                  <a:srgbClr val="404040"/>
                </a:solidFill>
              </a:ln>
              <a:effectLst/>
            </c:spPr>
            <c:extLst>
              <c:ext xmlns:c16="http://schemas.microsoft.com/office/drawing/2014/chart" uri="{C3380CC4-5D6E-409C-BE32-E72D297353CC}">
                <c16:uniqueId val="{00000013-922D-46B3-B64C-B53DE170B275}"/>
              </c:ext>
            </c:extLst>
          </c:dPt>
          <c:dPt>
            <c:idx val="10"/>
            <c:bubble3D val="0"/>
            <c:spPr>
              <a:pattFill prst="ltVert">
                <a:fgClr>
                  <a:sysClr val="window" lastClr="FFFFFF"/>
                </a:fgClr>
                <a:bgClr>
                  <a:srgbClr val="404040"/>
                </a:bgClr>
              </a:pattFill>
              <a:ln w="3175">
                <a:solidFill>
                  <a:srgbClr val="404040"/>
                </a:solidFill>
              </a:ln>
              <a:effectLst/>
            </c:spPr>
            <c:extLst>
              <c:ext xmlns:c16="http://schemas.microsoft.com/office/drawing/2014/chart" uri="{C3380CC4-5D6E-409C-BE32-E72D297353CC}">
                <c16:uniqueId val="{00000015-922D-46B3-B64C-B53DE170B275}"/>
              </c:ext>
            </c:extLst>
          </c:dPt>
          <c:dPt>
            <c:idx val="11"/>
            <c:bubble3D val="0"/>
            <c:spPr>
              <a:pattFill prst="narVert">
                <a:fgClr>
                  <a:srgbClr val="8C8C8C"/>
                </a:fgClr>
                <a:bgClr>
                  <a:sysClr val="window" lastClr="FFFFFF"/>
                </a:bgClr>
              </a:pattFill>
              <a:ln w="3175">
                <a:solidFill>
                  <a:srgbClr val="8C8C8C"/>
                </a:solidFill>
              </a:ln>
              <a:effectLst/>
            </c:spPr>
            <c:extLst>
              <c:ext xmlns:c16="http://schemas.microsoft.com/office/drawing/2014/chart" uri="{C3380CC4-5D6E-409C-BE32-E72D297353CC}">
                <c16:uniqueId val="{00000017-922D-46B3-B64C-B53DE170B275}"/>
              </c:ext>
            </c:extLst>
          </c:dPt>
          <c:dLbls>
            <c:dLbl>
              <c:idx val="0"/>
              <c:delete val="1"/>
              <c:extLst>
                <c:ext xmlns:c15="http://schemas.microsoft.com/office/drawing/2012/chart" uri="{CE6537A1-D6FC-4f65-9D91-7224C49458BB}"/>
                <c:ext xmlns:c16="http://schemas.microsoft.com/office/drawing/2014/chart" uri="{C3380CC4-5D6E-409C-BE32-E72D297353CC}">
                  <c16:uniqueId val="{00000001-922D-46B3-B64C-B53DE170B275}"/>
                </c:ext>
              </c:extLst>
            </c:dLbl>
            <c:dLbl>
              <c:idx val="1"/>
              <c:layout>
                <c:manualLayout>
                  <c:x val="-4.0857007411518494E-3"/>
                  <c:y val="-0.23489683581219015"/>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22D-46B3-B64C-B53DE170B27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sv-SE"/>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'F5 Varav barn 2020'!$A$7:$A$8</c:f>
              <c:strCache>
                <c:ptCount val="2"/>
                <c:pt idx="0">
                  <c:v>Vuxna*</c:v>
                </c:pt>
                <c:pt idx="1">
                  <c:v>Barn</c:v>
                </c:pt>
              </c:strCache>
            </c:strRef>
          </c:cat>
          <c:val>
            <c:numRef>
              <c:f>'F5 Varav barn 2020'!$B$7:$B$8</c:f>
              <c:numCache>
                <c:formatCode>#,##0</c:formatCode>
                <c:ptCount val="2"/>
                <c:pt idx="0">
                  <c:v>7548</c:v>
                </c:pt>
                <c:pt idx="1">
                  <c:v>6209</c:v>
                </c:pt>
              </c:numCache>
            </c:numRef>
          </c:val>
          <c:extLst>
            <c:ext xmlns:c16="http://schemas.microsoft.com/office/drawing/2014/chart" uri="{C3380CC4-5D6E-409C-BE32-E72D297353CC}">
              <c16:uniqueId val="{00000018-922D-46B3-B64C-B53DE170B275}"/>
            </c:ext>
          </c:extLst>
        </c:ser>
        <c:ser>
          <c:idx val="1"/>
          <c:order val="1"/>
          <c:tx>
            <c:strRef>
              <c:f>'F5 Varav barn 2020'!$C$6</c:f>
              <c:strCache>
                <c:ptCount val="1"/>
                <c:pt idx="0">
                  <c:v>Procent</c:v>
                </c:pt>
              </c:strCache>
            </c:strRef>
          </c:tx>
          <c:spPr>
            <a:pattFill prst="ltHorz">
              <a:fgClr>
                <a:schemeClr val="bg1"/>
              </a:fgClr>
              <a:bgClr>
                <a:srgbClr val="404040"/>
              </a:bgClr>
            </a:pattFill>
            <a:ln w="3175">
              <a:solidFill>
                <a:srgbClr val="404040"/>
              </a:solidFill>
            </a:ln>
          </c:spPr>
          <c:dPt>
            <c:idx val="0"/>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1A-922D-46B3-B64C-B53DE170B275}"/>
              </c:ext>
            </c:extLst>
          </c:dPt>
          <c:dPt>
            <c:idx val="1"/>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1C-922D-46B3-B64C-B53DE170B275}"/>
              </c:ext>
            </c:extLst>
          </c:dPt>
          <c:dPt>
            <c:idx val="2"/>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1E-922D-46B3-B64C-B53DE170B275}"/>
              </c:ext>
            </c:extLst>
          </c:dPt>
          <c:dPt>
            <c:idx val="3"/>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0-922D-46B3-B64C-B53DE170B275}"/>
              </c:ext>
            </c:extLst>
          </c:dPt>
          <c:dPt>
            <c:idx val="4"/>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2-922D-46B3-B64C-B53DE170B275}"/>
              </c:ext>
            </c:extLst>
          </c:dPt>
          <c:dPt>
            <c:idx val="5"/>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4-922D-46B3-B64C-B53DE170B275}"/>
              </c:ext>
            </c:extLst>
          </c:dPt>
          <c:dPt>
            <c:idx val="6"/>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6-922D-46B3-B64C-B53DE170B275}"/>
              </c:ext>
            </c:extLst>
          </c:dPt>
          <c:dPt>
            <c:idx val="7"/>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8-922D-46B3-B64C-B53DE170B275}"/>
              </c:ext>
            </c:extLst>
          </c:dPt>
          <c:dPt>
            <c:idx val="8"/>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A-922D-46B3-B64C-B53DE170B275}"/>
              </c:ext>
            </c:extLst>
          </c:dPt>
          <c:dPt>
            <c:idx val="9"/>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C-922D-46B3-B64C-B53DE170B275}"/>
              </c:ext>
            </c:extLst>
          </c:dPt>
          <c:dPt>
            <c:idx val="10"/>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E-922D-46B3-B64C-B53DE170B275}"/>
              </c:ext>
            </c:extLst>
          </c:dPt>
          <c:dPt>
            <c:idx val="11"/>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30-922D-46B3-B64C-B53DE170B275}"/>
              </c:ext>
            </c:extLst>
          </c:dPt>
          <c:cat>
            <c:strRef>
              <c:f>'F5 Varav barn 2020'!$A$7:$A$8</c:f>
              <c:strCache>
                <c:ptCount val="2"/>
                <c:pt idx="0">
                  <c:v>Vuxna*</c:v>
                </c:pt>
                <c:pt idx="1">
                  <c:v>Barn</c:v>
                </c:pt>
              </c:strCache>
            </c:strRef>
          </c:cat>
          <c:val>
            <c:numRef>
              <c:f>'F5 Varav barn 2020'!$C$7:$C$8</c:f>
              <c:numCache>
                <c:formatCode>0%</c:formatCode>
                <c:ptCount val="2"/>
                <c:pt idx="0">
                  <c:v>0.54866613360471028</c:v>
                </c:pt>
                <c:pt idx="1">
                  <c:v>0.45</c:v>
                </c:pt>
              </c:numCache>
            </c:numRef>
          </c:val>
          <c:extLst>
            <c:ext xmlns:c16="http://schemas.microsoft.com/office/drawing/2014/chart" uri="{C3380CC4-5D6E-409C-BE32-E72D297353CC}">
              <c16:uniqueId val="{00000031-922D-46B3-B64C-B53DE170B27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tx>
            <c:strRef>
              <c:f>'F6 Scenkonstområden 2020'!$B$6</c:f>
              <c:strCache>
                <c:ptCount val="1"/>
                <c:pt idx="0">
                  <c:v>Antal </c:v>
                </c:pt>
              </c:strCache>
            </c:strRef>
          </c:tx>
          <c:spPr>
            <a:pattFill prst="pct50">
              <a:fgClr>
                <a:srgbClr val="8C8C8C"/>
              </a:fgClr>
              <a:bgClr>
                <a:schemeClr val="bg1"/>
              </a:bgClr>
            </a:pattFill>
            <a:ln w="3175">
              <a:solidFill>
                <a:srgbClr val="8C8C8C"/>
              </a:solidFill>
            </a:ln>
          </c:spPr>
          <c:explosion val="4"/>
          <c:dPt>
            <c:idx val="0"/>
            <c:bubble3D val="0"/>
            <c:spPr>
              <a:pattFill prst="pct50">
                <a:fgClr>
                  <a:srgbClr val="404040"/>
                </a:fgClr>
                <a:bgClr>
                  <a:sysClr val="window" lastClr="FFFFFF"/>
                </a:bgClr>
              </a:pattFill>
              <a:ln w="3175">
                <a:solidFill>
                  <a:srgbClr val="404040"/>
                </a:solidFill>
              </a:ln>
              <a:effectLst/>
            </c:spPr>
            <c:extLst>
              <c:ext xmlns:c16="http://schemas.microsoft.com/office/drawing/2014/chart" uri="{C3380CC4-5D6E-409C-BE32-E72D297353CC}">
                <c16:uniqueId val="{00000001-DE96-41AD-8D5E-08BAC63355E1}"/>
              </c:ext>
            </c:extLst>
          </c:dPt>
          <c:dPt>
            <c:idx val="1"/>
            <c:bubble3D val="0"/>
            <c:spPr>
              <a:pattFill prst="ltUpDiag">
                <a:fgClr>
                  <a:sysClr val="window" lastClr="FFFFFF"/>
                </a:fgClr>
                <a:bgClr>
                  <a:srgbClr val="404040"/>
                </a:bgClr>
              </a:pattFill>
              <a:ln w="3175">
                <a:solidFill>
                  <a:srgbClr val="404040"/>
                </a:solidFill>
              </a:ln>
              <a:effectLst/>
            </c:spPr>
            <c:extLst>
              <c:ext xmlns:c16="http://schemas.microsoft.com/office/drawing/2014/chart" uri="{C3380CC4-5D6E-409C-BE32-E72D297353CC}">
                <c16:uniqueId val="{00000003-DE96-41AD-8D5E-08BAC63355E1}"/>
              </c:ext>
            </c:extLst>
          </c:dPt>
          <c:dPt>
            <c:idx val="2"/>
            <c:bubble3D val="0"/>
            <c:spPr>
              <a:pattFill prst="openDmnd">
                <a:fgClr>
                  <a:sysClr val="window" lastClr="FFFFFF"/>
                </a:fgClr>
                <a:bgClr>
                  <a:srgbClr val="8C8C8C"/>
                </a:bgClr>
              </a:pattFill>
              <a:ln w="3175">
                <a:solidFill>
                  <a:srgbClr val="8C8C8C"/>
                </a:solidFill>
              </a:ln>
              <a:effectLst/>
            </c:spPr>
            <c:extLst>
              <c:ext xmlns:c16="http://schemas.microsoft.com/office/drawing/2014/chart" uri="{C3380CC4-5D6E-409C-BE32-E72D297353CC}">
                <c16:uniqueId val="{00000005-DE96-41AD-8D5E-08BAC63355E1}"/>
              </c:ext>
            </c:extLst>
          </c:dPt>
          <c:dPt>
            <c:idx val="3"/>
            <c:bubble3D val="0"/>
            <c:spPr>
              <a:pattFill prst="pct30">
                <a:fgClr>
                  <a:srgbClr val="404040"/>
                </a:fgClr>
                <a:bgClr>
                  <a:sysClr val="window" lastClr="FFFFFF"/>
                </a:bgClr>
              </a:pattFill>
              <a:ln w="3175">
                <a:solidFill>
                  <a:srgbClr val="404040"/>
                </a:solidFill>
              </a:ln>
              <a:effectLst/>
            </c:spPr>
            <c:extLst>
              <c:ext xmlns:c16="http://schemas.microsoft.com/office/drawing/2014/chart" uri="{C3380CC4-5D6E-409C-BE32-E72D297353CC}">
                <c16:uniqueId val="{00000007-DE96-41AD-8D5E-08BAC63355E1}"/>
              </c:ext>
            </c:extLst>
          </c:dPt>
          <c:dPt>
            <c:idx val="4"/>
            <c:bubble3D val="0"/>
            <c:spPr>
              <a:pattFill prst="zigZag">
                <a:fgClr>
                  <a:sysClr val="window" lastClr="FFFFFF"/>
                </a:fgClr>
                <a:bgClr>
                  <a:srgbClr val="404040"/>
                </a:bgClr>
              </a:pattFill>
              <a:ln w="3175">
                <a:solidFill>
                  <a:srgbClr val="404040"/>
                </a:solidFill>
              </a:ln>
              <a:effectLst/>
            </c:spPr>
            <c:extLst>
              <c:ext xmlns:c16="http://schemas.microsoft.com/office/drawing/2014/chart" uri="{C3380CC4-5D6E-409C-BE32-E72D297353CC}">
                <c16:uniqueId val="{00000009-DE96-41AD-8D5E-08BAC63355E1}"/>
              </c:ext>
            </c:extLst>
          </c:dPt>
          <c:dPt>
            <c:idx val="5"/>
            <c:bubble3D val="0"/>
            <c:spPr>
              <a:pattFill prst="ltHorz">
                <a:fgClr>
                  <a:sysClr val="window" lastClr="FFFFFF"/>
                </a:fgClr>
                <a:bgClr>
                  <a:srgbClr val="404040"/>
                </a:bgClr>
              </a:pattFill>
              <a:ln w="3175">
                <a:solidFill>
                  <a:srgbClr val="404040"/>
                </a:solidFill>
              </a:ln>
              <a:effectLst/>
            </c:spPr>
            <c:extLst>
              <c:ext xmlns:c16="http://schemas.microsoft.com/office/drawing/2014/chart" uri="{C3380CC4-5D6E-409C-BE32-E72D297353CC}">
                <c16:uniqueId val="{0000000B-DE96-41AD-8D5E-08BAC63355E1}"/>
              </c:ext>
            </c:extLst>
          </c:dPt>
          <c:dPt>
            <c:idx val="6"/>
            <c:bubble3D val="0"/>
            <c:spPr>
              <a:pattFill prst="pct50">
                <a:fgClr>
                  <a:srgbClr val="8C8C8C"/>
                </a:fgClr>
                <a:bgClr>
                  <a:schemeClr val="bg1"/>
                </a:bgClr>
              </a:pattFill>
              <a:ln w="3175">
                <a:solidFill>
                  <a:srgbClr val="8C8C8C"/>
                </a:solidFill>
              </a:ln>
              <a:effectLst/>
            </c:spPr>
            <c:extLst>
              <c:ext xmlns:c16="http://schemas.microsoft.com/office/drawing/2014/chart" uri="{C3380CC4-5D6E-409C-BE32-E72D297353CC}">
                <c16:uniqueId val="{0000000F-DE96-41AD-8D5E-08BAC63355E1}"/>
              </c:ext>
            </c:extLst>
          </c:dPt>
          <c:dPt>
            <c:idx val="7"/>
            <c:bubble3D val="0"/>
            <c:spPr>
              <a:pattFill prst="dkDnDiag">
                <a:fgClr>
                  <a:srgbClr val="8C8C8C"/>
                </a:fgClr>
                <a:bgClr>
                  <a:sysClr val="window" lastClr="FFFFFF"/>
                </a:bgClr>
              </a:pattFill>
              <a:ln w="3175">
                <a:solidFill>
                  <a:srgbClr val="8C8C8C"/>
                </a:solidFill>
              </a:ln>
              <a:effectLst/>
            </c:spPr>
            <c:extLst>
              <c:ext xmlns:c16="http://schemas.microsoft.com/office/drawing/2014/chart" uri="{C3380CC4-5D6E-409C-BE32-E72D297353CC}">
                <c16:uniqueId val="{00000011-DE96-41AD-8D5E-08BAC63355E1}"/>
              </c:ext>
            </c:extLst>
          </c:dPt>
          <c:dPt>
            <c:idx val="8"/>
            <c:bubble3D val="0"/>
            <c:spPr>
              <a:pattFill prst="pct80">
                <a:fgClr>
                  <a:srgbClr val="404040"/>
                </a:fgClr>
                <a:bgClr>
                  <a:sysClr val="window" lastClr="FFFFFF"/>
                </a:bgClr>
              </a:pattFill>
              <a:ln w="3175">
                <a:solidFill>
                  <a:srgbClr val="404040"/>
                </a:solidFill>
              </a:ln>
              <a:effectLst/>
            </c:spPr>
            <c:extLst>
              <c:ext xmlns:c16="http://schemas.microsoft.com/office/drawing/2014/chart" uri="{C3380CC4-5D6E-409C-BE32-E72D297353CC}">
                <c16:uniqueId val="{00000013-DE96-41AD-8D5E-08BAC63355E1}"/>
              </c:ext>
            </c:extLst>
          </c:dPt>
          <c:dPt>
            <c:idx val="9"/>
            <c:bubble3D val="0"/>
            <c:spPr>
              <a:pattFill prst="ltVert">
                <a:fgClr>
                  <a:sysClr val="window" lastClr="FFFFFF"/>
                </a:fgClr>
                <a:bgClr>
                  <a:srgbClr val="404040"/>
                </a:bgClr>
              </a:pattFill>
              <a:ln w="3175">
                <a:solidFill>
                  <a:srgbClr val="404040"/>
                </a:solidFill>
              </a:ln>
              <a:effectLst/>
            </c:spPr>
            <c:extLst>
              <c:ext xmlns:c16="http://schemas.microsoft.com/office/drawing/2014/chart" uri="{C3380CC4-5D6E-409C-BE32-E72D297353CC}">
                <c16:uniqueId val="{00000015-DE96-41AD-8D5E-08BAC63355E1}"/>
              </c:ext>
            </c:extLst>
          </c:dPt>
          <c:dPt>
            <c:idx val="10"/>
            <c:bubble3D val="0"/>
            <c:spPr>
              <a:pattFill prst="narVert">
                <a:fgClr>
                  <a:srgbClr val="8C8C8C"/>
                </a:fgClr>
                <a:bgClr>
                  <a:sysClr val="window" lastClr="FFFFFF"/>
                </a:bgClr>
              </a:pattFill>
              <a:ln w="3175">
                <a:solidFill>
                  <a:srgbClr val="8C8C8C"/>
                </a:solidFill>
              </a:ln>
              <a:effectLst/>
            </c:spPr>
            <c:extLst>
              <c:ext xmlns:c16="http://schemas.microsoft.com/office/drawing/2014/chart" uri="{C3380CC4-5D6E-409C-BE32-E72D297353CC}">
                <c16:uniqueId val="{00000017-DE96-41AD-8D5E-08BAC63355E1}"/>
              </c:ext>
            </c:extLst>
          </c:dPt>
          <c:dLbls>
            <c:dLbl>
              <c:idx val="0"/>
              <c:layout>
                <c:manualLayout>
                  <c:x val="5.7026465441819774E-2"/>
                  <c:y val="-0.16887139107611548"/>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E96-41AD-8D5E-08BAC63355E1}"/>
                </c:ext>
              </c:extLst>
            </c:dLbl>
            <c:dLbl>
              <c:idx val="1"/>
              <c:layout>
                <c:manualLayout>
                  <c:x val="7.0881067332734277E-2"/>
                  <c:y val="-5.3454906678332047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sv-SE"/>
                </a:p>
              </c:txPr>
              <c:showLegendKey val="0"/>
              <c:showVal val="1"/>
              <c:showCatName val="1"/>
              <c:showSerName val="0"/>
              <c:showPercent val="1"/>
              <c:showBubbleSize val="0"/>
              <c:extLst>
                <c:ext xmlns:c15="http://schemas.microsoft.com/office/drawing/2012/chart" uri="{CE6537A1-D6FC-4f65-9D91-7224C49458BB}">
                  <c15:layout>
                    <c:manualLayout>
                      <c:w val="0.15195822397200351"/>
                      <c:h val="0.10828703703703701"/>
                    </c:manualLayout>
                  </c15:layout>
                </c:ext>
                <c:ext xmlns:c16="http://schemas.microsoft.com/office/drawing/2014/chart" uri="{C3380CC4-5D6E-409C-BE32-E72D297353CC}">
                  <c16:uniqueId val="{00000003-DE96-41AD-8D5E-08BAC63355E1}"/>
                </c:ext>
              </c:extLst>
            </c:dLbl>
            <c:dLbl>
              <c:idx val="2"/>
              <c:layout>
                <c:manualLayout>
                  <c:x val="9.0115901856561931E-2"/>
                  <c:y val="3.2575823855351412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E96-41AD-8D5E-08BAC63355E1}"/>
                </c:ext>
              </c:extLst>
            </c:dLbl>
            <c:dLbl>
              <c:idx val="3"/>
              <c:layout>
                <c:manualLayout>
                  <c:x val="-3.8083837199266966E-2"/>
                  <c:y val="-2.5138524351122778E-3"/>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E96-41AD-8D5E-08BAC63355E1}"/>
                </c:ext>
              </c:extLst>
            </c:dLbl>
            <c:dLbl>
              <c:idx val="4"/>
              <c:layout>
                <c:manualLayout>
                  <c:x val="-0.10395437030719322"/>
                  <c:y val="-0.17592592592592601"/>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sv-SE"/>
                </a:p>
              </c:txPr>
              <c:showLegendKey val="0"/>
              <c:showVal val="1"/>
              <c:showCatName val="1"/>
              <c:showSerName val="0"/>
              <c:showPercent val="1"/>
              <c:showBubbleSize val="0"/>
              <c:extLst>
                <c:ext xmlns:c15="http://schemas.microsoft.com/office/drawing/2012/chart" uri="{CE6537A1-D6FC-4f65-9D91-7224C49458BB}">
                  <c15:layout>
                    <c:manualLayout>
                      <c:w val="0.22430555555555554"/>
                      <c:h val="0.15625"/>
                    </c:manualLayout>
                  </c15:layout>
                </c:ext>
                <c:ext xmlns:c16="http://schemas.microsoft.com/office/drawing/2014/chart" uri="{C3380CC4-5D6E-409C-BE32-E72D297353CC}">
                  <c16:uniqueId val="{00000009-DE96-41AD-8D5E-08BAC63355E1}"/>
                </c:ext>
              </c:extLst>
            </c:dLbl>
            <c:dLbl>
              <c:idx val="5"/>
              <c:layout>
                <c:manualLayout>
                  <c:x val="-3.6481416612092004E-3"/>
                  <c:y val="-0.12898148148148147"/>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E96-41AD-8D5E-08BAC63355E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sv-SE"/>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'F6 Scenkonstområden 2020'!$A$7:$A$13</c15:sqref>
                  </c15:fullRef>
                </c:ext>
              </c:extLst>
              <c:f>'F6 Scenkonstområden 2020'!$A$7:$A$12</c:f>
              <c:strCache>
                <c:ptCount val="6"/>
                <c:pt idx="0">
                  <c:v>Musik</c:v>
                </c:pt>
                <c:pt idx="1">
                  <c:v>Musikteater </c:v>
                </c:pt>
                <c:pt idx="2">
                  <c:v>Dans</c:v>
                </c:pt>
                <c:pt idx="3">
                  <c:v>Samtida cirkus</c:v>
                </c:pt>
                <c:pt idx="4">
                  <c:v>Övrig scenkonst</c:v>
                </c:pt>
                <c:pt idx="5">
                  <c:v>Teater</c:v>
                </c:pt>
              </c:strCache>
            </c:strRef>
          </c:cat>
          <c:val>
            <c:numRef>
              <c:extLst>
                <c:ext xmlns:c15="http://schemas.microsoft.com/office/drawing/2012/chart" uri="{02D57815-91ED-43cb-92C2-25804820EDAC}">
                  <c15:fullRef>
                    <c15:sqref>'F6 Scenkonstområden 2020'!$B$7:$B$13</c15:sqref>
                  </c15:fullRef>
                </c:ext>
              </c:extLst>
              <c:f>'F6 Scenkonstområden 2020'!$B$7:$B$12</c:f>
              <c:numCache>
                <c:formatCode>#,##0</c:formatCode>
                <c:ptCount val="6"/>
                <c:pt idx="0">
                  <c:v>5543</c:v>
                </c:pt>
                <c:pt idx="1">
                  <c:v>686</c:v>
                </c:pt>
                <c:pt idx="2">
                  <c:v>1292</c:v>
                </c:pt>
                <c:pt idx="3">
                  <c:v>240</c:v>
                </c:pt>
                <c:pt idx="4">
                  <c:v>135</c:v>
                </c:pt>
                <c:pt idx="5">
                  <c:v>5237</c:v>
                </c:pt>
              </c:numCache>
            </c:numRef>
          </c:val>
          <c:extLst>
            <c:ext xmlns:c15="http://schemas.microsoft.com/office/drawing/2012/chart" uri="{02D57815-91ED-43cb-92C2-25804820EDAC}">
              <c15:categoryFilterExceptions>
                <c15:categoryFilterException>
                  <c15:sqref>'F6 Scenkonstområden 2020'!$B$13</c15:sqref>
                  <c15:spPr xmlns:c15="http://schemas.microsoft.com/office/drawing/2012/chart">
                    <a:pattFill prst="pct50">
                      <a:fgClr>
                        <a:srgbClr val="8C8C8C"/>
                      </a:fgClr>
                      <a:bgClr>
                        <a:schemeClr val="bg1"/>
                      </a:bgClr>
                    </a:pattFill>
                    <a:ln w="3175">
                      <a:solidFill>
                        <a:srgbClr val="8C8C8C"/>
                      </a:solidFill>
                    </a:ln>
                    <a:effectLst/>
                  </c15:spPr>
                  <c15:bubble3D val="0"/>
                </c15:categoryFilterException>
              </c15:categoryFilterExceptions>
            </c:ext>
            <c:ext xmlns:c16="http://schemas.microsoft.com/office/drawing/2014/chart" uri="{C3380CC4-5D6E-409C-BE32-E72D297353CC}">
              <c16:uniqueId val="{00000018-DE96-41AD-8D5E-08BAC63355E1}"/>
            </c:ext>
          </c:extLst>
        </c:ser>
        <c:ser>
          <c:idx val="1"/>
          <c:order val="1"/>
          <c:tx>
            <c:strRef>
              <c:f>'F6 Scenkonstområden 2020'!$C$6</c:f>
              <c:strCache>
                <c:ptCount val="1"/>
                <c:pt idx="0">
                  <c:v>Andel </c:v>
                </c:pt>
              </c:strCache>
            </c:strRef>
          </c:tx>
          <c:spPr>
            <a:pattFill prst="ltHorz">
              <a:fgClr>
                <a:schemeClr val="bg1"/>
              </a:fgClr>
              <a:bgClr>
                <a:srgbClr val="404040"/>
              </a:bgClr>
            </a:pattFill>
            <a:ln w="3175">
              <a:solidFill>
                <a:srgbClr val="404040"/>
              </a:solidFill>
            </a:ln>
          </c:spPr>
          <c:dPt>
            <c:idx val="0"/>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1A-DE96-41AD-8D5E-08BAC63355E1}"/>
              </c:ext>
            </c:extLst>
          </c:dPt>
          <c:dPt>
            <c:idx val="1"/>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1C-DE96-41AD-8D5E-08BAC63355E1}"/>
              </c:ext>
            </c:extLst>
          </c:dPt>
          <c:dPt>
            <c:idx val="2"/>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1E-DE96-41AD-8D5E-08BAC63355E1}"/>
              </c:ext>
            </c:extLst>
          </c:dPt>
          <c:dPt>
            <c:idx val="3"/>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0-DE96-41AD-8D5E-08BAC63355E1}"/>
              </c:ext>
            </c:extLst>
          </c:dPt>
          <c:dPt>
            <c:idx val="4"/>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2-DE96-41AD-8D5E-08BAC63355E1}"/>
              </c:ext>
            </c:extLst>
          </c:dPt>
          <c:dPt>
            <c:idx val="5"/>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4-DE96-41AD-8D5E-08BAC63355E1}"/>
              </c:ext>
            </c:extLst>
          </c:dPt>
          <c:dPt>
            <c:idx val="6"/>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8-DE96-41AD-8D5E-08BAC63355E1}"/>
              </c:ext>
            </c:extLst>
          </c:dPt>
          <c:dPt>
            <c:idx val="7"/>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A-DE96-41AD-8D5E-08BAC63355E1}"/>
              </c:ext>
            </c:extLst>
          </c:dPt>
          <c:dPt>
            <c:idx val="8"/>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C-DE96-41AD-8D5E-08BAC63355E1}"/>
              </c:ext>
            </c:extLst>
          </c:dPt>
          <c:dPt>
            <c:idx val="9"/>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E-DE96-41AD-8D5E-08BAC63355E1}"/>
              </c:ext>
            </c:extLst>
          </c:dPt>
          <c:dPt>
            <c:idx val="10"/>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30-DE96-41AD-8D5E-08BAC63355E1}"/>
              </c:ext>
            </c:extLst>
          </c:dPt>
          <c:cat>
            <c:strRef>
              <c:extLst>
                <c:ext xmlns:c15="http://schemas.microsoft.com/office/drawing/2012/chart" uri="{02D57815-91ED-43cb-92C2-25804820EDAC}">
                  <c15:fullRef>
                    <c15:sqref>'F6 Scenkonstområden 2020'!$A$7:$A$13</c15:sqref>
                  </c15:fullRef>
                </c:ext>
              </c:extLst>
              <c:f>'F6 Scenkonstområden 2020'!$A$7:$A$12</c:f>
              <c:strCache>
                <c:ptCount val="6"/>
                <c:pt idx="0">
                  <c:v>Musik</c:v>
                </c:pt>
                <c:pt idx="1">
                  <c:v>Musikteater </c:v>
                </c:pt>
                <c:pt idx="2">
                  <c:v>Dans</c:v>
                </c:pt>
                <c:pt idx="3">
                  <c:v>Samtida cirkus</c:v>
                </c:pt>
                <c:pt idx="4">
                  <c:v>Övrig scenkonst</c:v>
                </c:pt>
                <c:pt idx="5">
                  <c:v>Teater</c:v>
                </c:pt>
              </c:strCache>
            </c:strRef>
          </c:cat>
          <c:val>
            <c:numRef>
              <c:extLst>
                <c:ext xmlns:c15="http://schemas.microsoft.com/office/drawing/2012/chart" uri="{02D57815-91ED-43cb-92C2-25804820EDAC}">
                  <c15:fullRef>
                    <c15:sqref>'F6 Scenkonstområden 2020'!$C$7:$C$13</c15:sqref>
                  </c15:fullRef>
                </c:ext>
              </c:extLst>
              <c:f>'F6 Scenkonstområden 2020'!$C$7:$C$12</c:f>
              <c:numCache>
                <c:formatCode>0%</c:formatCode>
                <c:ptCount val="6"/>
                <c:pt idx="0">
                  <c:v>0.42206654991243431</c:v>
                </c:pt>
                <c:pt idx="1">
                  <c:v>5.2234828295134393E-2</c:v>
                </c:pt>
                <c:pt idx="2">
                  <c:v>9.8378131424655443E-2</c:v>
                </c:pt>
                <c:pt idx="3">
                  <c:v>1.8274575496840022E-2</c:v>
                </c:pt>
                <c:pt idx="4">
                  <c:v>1.0279448716972513E-2</c:v>
                </c:pt>
                <c:pt idx="5">
                  <c:v>0.39876646615396327</c:v>
                </c:pt>
              </c:numCache>
            </c:numRef>
          </c:val>
          <c:extLst>
            <c:ext xmlns:c15="http://schemas.microsoft.com/office/drawing/2012/chart" uri="{02D57815-91ED-43cb-92C2-25804820EDAC}">
              <c15:categoryFilterExceptions>
                <c15:categoryFilterException>
                  <c15:sqref>'F6 Scenkonstområden 2020'!$C$13</c15:sqref>
                  <c15:spPr xmlns:c15="http://schemas.microsoft.com/office/drawing/2012/chart">
                    <a:pattFill prst="ltHorz">
                      <a:fgClr>
                        <a:schemeClr val="bg1"/>
                      </a:fgClr>
                      <a:bgClr>
                        <a:srgbClr val="404040"/>
                      </a:bgClr>
                    </a:pattFill>
                    <a:ln w="3175">
                      <a:solidFill>
                        <a:srgbClr val="404040"/>
                      </a:solidFill>
                    </a:ln>
                    <a:effectLst/>
                  </c15:spPr>
                  <c15:bubble3D val="0"/>
                </c15:categoryFilterException>
              </c15:categoryFilterExceptions>
            </c:ext>
            <c:ext xmlns:c16="http://schemas.microsoft.com/office/drawing/2014/chart" uri="{C3380CC4-5D6E-409C-BE32-E72D297353CC}">
              <c16:uniqueId val="{00000031-DE96-41AD-8D5E-08BAC63355E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tx>
            <c:strRef>
              <c:f>'F8 Digitala produktioner 2020'!$B$6</c:f>
              <c:strCache>
                <c:ptCount val="1"/>
                <c:pt idx="0">
                  <c:v>Antal digitala produktioner</c:v>
                </c:pt>
              </c:strCache>
            </c:strRef>
          </c:tx>
          <c:spPr>
            <a:pattFill prst="pct50">
              <a:fgClr>
                <a:srgbClr val="8C8C8C"/>
              </a:fgClr>
              <a:bgClr>
                <a:schemeClr val="bg1"/>
              </a:bgClr>
            </a:pattFill>
            <a:ln w="3175">
              <a:solidFill>
                <a:srgbClr val="8C8C8C"/>
              </a:solidFill>
            </a:ln>
          </c:spPr>
          <c:explosion val="4"/>
          <c:dPt>
            <c:idx val="0"/>
            <c:bubble3D val="0"/>
            <c:spPr>
              <a:pattFill prst="pct50">
                <a:fgClr>
                  <a:srgbClr val="404040"/>
                </a:fgClr>
                <a:bgClr>
                  <a:sysClr val="window" lastClr="FFFFFF"/>
                </a:bgClr>
              </a:pattFill>
              <a:ln w="3175">
                <a:solidFill>
                  <a:srgbClr val="404040"/>
                </a:solidFill>
              </a:ln>
              <a:effectLst/>
            </c:spPr>
            <c:extLst>
              <c:ext xmlns:c16="http://schemas.microsoft.com/office/drawing/2014/chart" uri="{C3380CC4-5D6E-409C-BE32-E72D297353CC}">
                <c16:uniqueId val="{00000019-E430-4ED0-A921-ABC46666050C}"/>
              </c:ext>
            </c:extLst>
          </c:dPt>
          <c:dPt>
            <c:idx val="1"/>
            <c:bubble3D val="0"/>
            <c:spPr>
              <a:pattFill prst="ltHorz">
                <a:fgClr>
                  <a:sysClr val="window" lastClr="FFFFFF"/>
                </a:fgClr>
                <a:bgClr>
                  <a:srgbClr val="404040"/>
                </a:bgClr>
              </a:pattFill>
              <a:ln w="3175">
                <a:solidFill>
                  <a:srgbClr val="404040"/>
                </a:solidFill>
              </a:ln>
              <a:effectLst/>
            </c:spPr>
            <c:extLst>
              <c:ext xmlns:c16="http://schemas.microsoft.com/office/drawing/2014/chart" uri="{C3380CC4-5D6E-409C-BE32-E72D297353CC}">
                <c16:uniqueId val="{0000001A-E430-4ED0-A921-ABC46666050C}"/>
              </c:ext>
            </c:extLst>
          </c:dPt>
          <c:dPt>
            <c:idx val="2"/>
            <c:bubble3D val="0"/>
            <c:spPr>
              <a:pattFill prst="ltUpDiag">
                <a:fgClr>
                  <a:sysClr val="window" lastClr="FFFFFF"/>
                </a:fgClr>
                <a:bgClr>
                  <a:srgbClr val="404040"/>
                </a:bgClr>
              </a:pattFill>
              <a:ln w="3175">
                <a:solidFill>
                  <a:srgbClr val="404040"/>
                </a:solidFill>
              </a:ln>
              <a:effectLst/>
            </c:spPr>
            <c:extLst>
              <c:ext xmlns:c16="http://schemas.microsoft.com/office/drawing/2014/chart" uri="{C3380CC4-5D6E-409C-BE32-E72D297353CC}">
                <c16:uniqueId val="{0000001B-E430-4ED0-A921-ABC46666050C}"/>
              </c:ext>
            </c:extLst>
          </c:dPt>
          <c:dPt>
            <c:idx val="3"/>
            <c:bubble3D val="0"/>
            <c:spPr>
              <a:pattFill prst="openDmnd">
                <a:fgClr>
                  <a:sysClr val="window" lastClr="FFFFFF"/>
                </a:fgClr>
                <a:bgClr>
                  <a:srgbClr val="8C8C8C"/>
                </a:bgClr>
              </a:pattFill>
              <a:ln w="3175">
                <a:solidFill>
                  <a:srgbClr val="8C8C8C"/>
                </a:solidFill>
              </a:ln>
              <a:effectLst/>
            </c:spPr>
            <c:extLst>
              <c:ext xmlns:c16="http://schemas.microsoft.com/office/drawing/2014/chart" uri="{C3380CC4-5D6E-409C-BE32-E72D297353CC}">
                <c16:uniqueId val="{0000001C-E430-4ED0-A921-ABC46666050C}"/>
              </c:ext>
            </c:extLst>
          </c:dPt>
          <c:dPt>
            <c:idx val="4"/>
            <c:bubble3D val="0"/>
            <c:spPr>
              <a:pattFill prst="pct30">
                <a:fgClr>
                  <a:srgbClr val="404040"/>
                </a:fgClr>
                <a:bgClr>
                  <a:sysClr val="window" lastClr="FFFFFF"/>
                </a:bgClr>
              </a:pattFill>
              <a:ln w="3175">
                <a:solidFill>
                  <a:srgbClr val="404040"/>
                </a:solidFill>
              </a:ln>
              <a:effectLst/>
            </c:spPr>
            <c:extLst>
              <c:ext xmlns:c16="http://schemas.microsoft.com/office/drawing/2014/chart" uri="{C3380CC4-5D6E-409C-BE32-E72D297353CC}">
                <c16:uniqueId val="{0000001D-E430-4ED0-A921-ABC46666050C}"/>
              </c:ext>
            </c:extLst>
          </c:dPt>
          <c:dPt>
            <c:idx val="5"/>
            <c:bubble3D val="0"/>
            <c:spPr>
              <a:pattFill prst="zigZag">
                <a:fgClr>
                  <a:sysClr val="window" lastClr="FFFFFF"/>
                </a:fgClr>
                <a:bgClr>
                  <a:srgbClr val="404040"/>
                </a:bgClr>
              </a:pattFill>
              <a:ln w="3175">
                <a:solidFill>
                  <a:srgbClr val="404040"/>
                </a:solidFill>
              </a:ln>
              <a:effectLst/>
            </c:spPr>
            <c:extLst>
              <c:ext xmlns:c16="http://schemas.microsoft.com/office/drawing/2014/chart" uri="{C3380CC4-5D6E-409C-BE32-E72D297353CC}">
                <c16:uniqueId val="{0000001E-E430-4ED0-A921-ABC46666050C}"/>
              </c:ext>
            </c:extLst>
          </c:dPt>
          <c:dPt>
            <c:idx val="6"/>
            <c:bubble3D val="0"/>
            <c:spPr>
              <a:pattFill prst="narHorz">
                <a:fgClr>
                  <a:srgbClr val="8C8C8C"/>
                </a:fgClr>
                <a:bgClr>
                  <a:sysClr val="window" lastClr="FFFFFF"/>
                </a:bgClr>
              </a:pattFill>
              <a:ln w="3175">
                <a:solidFill>
                  <a:srgbClr val="8C8C8C"/>
                </a:solidFill>
              </a:ln>
              <a:effectLst/>
            </c:spPr>
            <c:extLst>
              <c:ext xmlns:c16="http://schemas.microsoft.com/office/drawing/2014/chart" uri="{C3380CC4-5D6E-409C-BE32-E72D297353CC}">
                <c16:uniqueId val="{0000001F-E430-4ED0-A921-ABC46666050C}"/>
              </c:ext>
            </c:extLst>
          </c:dPt>
          <c:dPt>
            <c:idx val="7"/>
            <c:bubble3D val="0"/>
            <c:spPr>
              <a:pattFill prst="trellis">
                <a:fgClr>
                  <a:srgbClr val="404040"/>
                </a:fgClr>
                <a:bgClr>
                  <a:sysClr val="window" lastClr="FFFFFF"/>
                </a:bgClr>
              </a:pattFill>
              <a:ln w="3175">
                <a:solidFill>
                  <a:srgbClr val="404040"/>
                </a:solidFill>
              </a:ln>
              <a:effectLst/>
            </c:spPr>
            <c:extLst>
              <c:ext xmlns:c16="http://schemas.microsoft.com/office/drawing/2014/chart" uri="{C3380CC4-5D6E-409C-BE32-E72D297353CC}">
                <c16:uniqueId val="{00000020-E430-4ED0-A921-ABC46666050C}"/>
              </c:ext>
            </c:extLst>
          </c:dPt>
          <c:dPt>
            <c:idx val="8"/>
            <c:bubble3D val="0"/>
            <c:spPr>
              <a:pattFill prst="dkDnDiag">
                <a:fgClr>
                  <a:srgbClr val="8C8C8C"/>
                </a:fgClr>
                <a:bgClr>
                  <a:sysClr val="window" lastClr="FFFFFF"/>
                </a:bgClr>
              </a:pattFill>
              <a:ln w="3175">
                <a:solidFill>
                  <a:srgbClr val="8C8C8C"/>
                </a:solidFill>
              </a:ln>
              <a:effectLst/>
            </c:spPr>
            <c:extLst>
              <c:ext xmlns:c16="http://schemas.microsoft.com/office/drawing/2014/chart" uri="{C3380CC4-5D6E-409C-BE32-E72D297353CC}">
                <c16:uniqueId val="{00000021-E430-4ED0-A921-ABC46666050C}"/>
              </c:ext>
            </c:extLst>
          </c:dPt>
          <c:dPt>
            <c:idx val="9"/>
            <c:bubble3D val="0"/>
            <c:spPr>
              <a:pattFill prst="pct80">
                <a:fgClr>
                  <a:srgbClr val="404040"/>
                </a:fgClr>
                <a:bgClr>
                  <a:sysClr val="window" lastClr="FFFFFF"/>
                </a:bgClr>
              </a:pattFill>
              <a:ln w="3175">
                <a:solidFill>
                  <a:srgbClr val="404040"/>
                </a:solidFill>
              </a:ln>
              <a:effectLst/>
            </c:spPr>
            <c:extLst>
              <c:ext xmlns:c16="http://schemas.microsoft.com/office/drawing/2014/chart" uri="{C3380CC4-5D6E-409C-BE32-E72D297353CC}">
                <c16:uniqueId val="{00000022-E430-4ED0-A921-ABC46666050C}"/>
              </c:ext>
            </c:extLst>
          </c:dPt>
          <c:dPt>
            <c:idx val="10"/>
            <c:bubble3D val="0"/>
            <c:spPr>
              <a:pattFill prst="ltVert">
                <a:fgClr>
                  <a:sysClr val="window" lastClr="FFFFFF"/>
                </a:fgClr>
                <a:bgClr>
                  <a:srgbClr val="404040"/>
                </a:bgClr>
              </a:pattFill>
              <a:ln w="3175">
                <a:solidFill>
                  <a:srgbClr val="404040"/>
                </a:solidFill>
              </a:ln>
              <a:effectLst/>
            </c:spPr>
            <c:extLst>
              <c:ext xmlns:c16="http://schemas.microsoft.com/office/drawing/2014/chart" uri="{C3380CC4-5D6E-409C-BE32-E72D297353CC}">
                <c16:uniqueId val="{00000023-E430-4ED0-A921-ABC46666050C}"/>
              </c:ext>
            </c:extLst>
          </c:dPt>
          <c:dPt>
            <c:idx val="11"/>
            <c:bubble3D val="0"/>
            <c:spPr>
              <a:pattFill prst="narVert">
                <a:fgClr>
                  <a:srgbClr val="8C8C8C"/>
                </a:fgClr>
                <a:bgClr>
                  <a:sysClr val="window" lastClr="FFFFFF"/>
                </a:bgClr>
              </a:pattFill>
              <a:ln w="3175">
                <a:solidFill>
                  <a:srgbClr val="8C8C8C"/>
                </a:solidFill>
              </a:ln>
              <a:effectLst/>
            </c:spPr>
            <c:extLst>
              <c:ext xmlns:c16="http://schemas.microsoft.com/office/drawing/2014/chart" uri="{C3380CC4-5D6E-409C-BE32-E72D297353CC}">
                <c16:uniqueId val="{00000024-E430-4ED0-A921-ABC46666050C}"/>
              </c:ext>
            </c:extLst>
          </c:dPt>
          <c:dLbls>
            <c:dLbl>
              <c:idx val="0"/>
              <c:layout>
                <c:manualLayout>
                  <c:x val="5.7026465441819774E-2"/>
                  <c:y val="-0.16887139107611548"/>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E430-4ED0-A921-ABC46666050C}"/>
                </c:ext>
              </c:extLst>
            </c:dLbl>
            <c:dLbl>
              <c:idx val="1"/>
              <c:layout>
                <c:manualLayout>
                  <c:x val="4.7931539807524057E-2"/>
                  <c:y val="0.19046296296296297"/>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A-E430-4ED0-A921-ABC46666050C}"/>
                </c:ext>
              </c:extLst>
            </c:dLbl>
            <c:dLbl>
              <c:idx val="2"/>
              <c:layout>
                <c:manualLayout>
                  <c:x val="-6.3226049868766399E-2"/>
                  <c:y val="0.12684383202099736"/>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sv-SE"/>
                </a:p>
              </c:txPr>
              <c:showLegendKey val="0"/>
              <c:showVal val="1"/>
              <c:showCatName val="1"/>
              <c:showSerName val="0"/>
              <c:showPercent val="1"/>
              <c:showBubbleSize val="0"/>
              <c:extLst>
                <c:ext xmlns:c15="http://schemas.microsoft.com/office/drawing/2012/chart" uri="{CE6537A1-D6FC-4f65-9D91-7224C49458BB}">
                  <c15:layout>
                    <c:manualLayout>
                      <c:w val="0.15195822397200351"/>
                      <c:h val="0.10828703703703701"/>
                    </c:manualLayout>
                  </c15:layout>
                </c:ext>
                <c:ext xmlns:c16="http://schemas.microsoft.com/office/drawing/2014/chart" uri="{C3380CC4-5D6E-409C-BE32-E72D297353CC}">
                  <c16:uniqueId val="{0000001B-E430-4ED0-A921-ABC46666050C}"/>
                </c:ext>
              </c:extLst>
            </c:dLbl>
            <c:dLbl>
              <c:idx val="4"/>
              <c:layout>
                <c:manualLayout>
                  <c:x val="-9.7150043744531935E-3"/>
                  <c:y val="-2.529819189268008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E430-4ED0-A921-ABC46666050C}"/>
                </c:ext>
              </c:extLst>
            </c:dLbl>
            <c:dLbl>
              <c:idx val="5"/>
              <c:layout>
                <c:manualLayout>
                  <c:x val="-1.1111001749781278E-2"/>
                  <c:y val="-7.2473753280839891E-3"/>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sv-SE"/>
                </a:p>
              </c:txPr>
              <c:showLegendKey val="0"/>
              <c:showVal val="1"/>
              <c:showCatName val="1"/>
              <c:showSerName val="0"/>
              <c:showPercent val="1"/>
              <c:showBubbleSize val="0"/>
              <c:extLst>
                <c:ext xmlns:c15="http://schemas.microsoft.com/office/drawing/2012/chart" uri="{CE6537A1-D6FC-4f65-9D91-7224C49458BB}">
                  <c15:layout>
                    <c:manualLayout>
                      <c:w val="0.22430555555555554"/>
                      <c:h val="0.15625"/>
                    </c:manualLayout>
                  </c15:layout>
                </c:ext>
                <c:ext xmlns:c16="http://schemas.microsoft.com/office/drawing/2014/chart" uri="{C3380CC4-5D6E-409C-BE32-E72D297353CC}">
                  <c16:uniqueId val="{0000001E-E430-4ED0-A921-ABC46666050C}"/>
                </c:ext>
              </c:extLst>
            </c:dLbl>
            <c:dLbl>
              <c:idx val="6"/>
              <c:layout>
                <c:manualLayout>
                  <c:x val="6.5925196850393705E-2"/>
                  <c:y val="1.1572251385243504E-3"/>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sv-SE"/>
                </a:p>
              </c:txPr>
              <c:showLegendKey val="0"/>
              <c:showVal val="1"/>
              <c:showCatName val="1"/>
              <c:showSerName val="0"/>
              <c:showPercent val="1"/>
              <c:showBubbleSize val="0"/>
              <c:extLst>
                <c:ext xmlns:c15="http://schemas.microsoft.com/office/drawing/2012/chart" uri="{CE6537A1-D6FC-4f65-9D91-7224C49458BB}">
                  <c15:layout>
                    <c:manualLayout>
                      <c:w val="0.21431955380577428"/>
                      <c:h val="0.16937518226888304"/>
                    </c:manualLayout>
                  </c15:layout>
                </c:ext>
                <c:ext xmlns:c16="http://schemas.microsoft.com/office/drawing/2014/chart" uri="{C3380CC4-5D6E-409C-BE32-E72D297353CC}">
                  <c16:uniqueId val="{0000001F-E430-4ED0-A921-ABC46666050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sv-SE"/>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'F8 Digitala produktioner 2020'!$A$7:$A$13</c:f>
              <c:strCache>
                <c:ptCount val="7"/>
                <c:pt idx="0">
                  <c:v>Musik</c:v>
                </c:pt>
                <c:pt idx="1">
                  <c:v>Teater</c:v>
                </c:pt>
                <c:pt idx="2">
                  <c:v>Musikteater </c:v>
                </c:pt>
                <c:pt idx="3">
                  <c:v>Dans</c:v>
                </c:pt>
                <c:pt idx="4">
                  <c:v>Samtida cirkus</c:v>
                </c:pt>
                <c:pt idx="5">
                  <c:v>Två scenkonstområden</c:v>
                </c:pt>
                <c:pt idx="6">
                  <c:v>Fler än två scenkonstområden</c:v>
                </c:pt>
              </c:strCache>
            </c:strRef>
          </c:cat>
          <c:val>
            <c:numRef>
              <c:f>'F8 Digitala produktioner 2020'!$B$7:$B$13</c:f>
              <c:numCache>
                <c:formatCode>#,##0</c:formatCode>
                <c:ptCount val="7"/>
                <c:pt idx="0">
                  <c:v>844</c:v>
                </c:pt>
                <c:pt idx="1">
                  <c:v>133</c:v>
                </c:pt>
                <c:pt idx="2">
                  <c:v>6</c:v>
                </c:pt>
                <c:pt idx="3">
                  <c:v>13</c:v>
                </c:pt>
                <c:pt idx="4">
                  <c:v>11</c:v>
                </c:pt>
                <c:pt idx="5">
                  <c:v>196</c:v>
                </c:pt>
                <c:pt idx="6">
                  <c:v>127</c:v>
                </c:pt>
              </c:numCache>
            </c:numRef>
          </c:val>
          <c:extLst>
            <c:ext xmlns:c16="http://schemas.microsoft.com/office/drawing/2014/chart" uri="{C3380CC4-5D6E-409C-BE32-E72D297353CC}">
              <c16:uniqueId val="{00000000-ACA7-4AC8-8A19-8BF68615E7A8}"/>
            </c:ext>
          </c:extLst>
        </c:ser>
        <c:ser>
          <c:idx val="1"/>
          <c:order val="1"/>
          <c:tx>
            <c:strRef>
              <c:f>'F8 Digitala produktioner 2020'!$C$6</c:f>
              <c:strCache>
                <c:ptCount val="1"/>
                <c:pt idx="0">
                  <c:v>Andel digitala produktioner</c:v>
                </c:pt>
              </c:strCache>
            </c:strRef>
          </c:tx>
          <c:spPr>
            <a:pattFill prst="ltHorz">
              <a:fgClr>
                <a:schemeClr val="bg1"/>
              </a:fgClr>
              <a:bgClr>
                <a:srgbClr val="404040"/>
              </a:bgClr>
            </a:pattFill>
            <a:ln w="3175">
              <a:solidFill>
                <a:srgbClr val="404040"/>
              </a:solidFill>
            </a:ln>
          </c:spPr>
          <c:dPt>
            <c:idx val="0"/>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1D-B122-4195-BDC5-8603E44B6057}"/>
              </c:ext>
            </c:extLst>
          </c:dPt>
          <c:dPt>
            <c:idx val="1"/>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1F-B122-4195-BDC5-8603E44B6057}"/>
              </c:ext>
            </c:extLst>
          </c:dPt>
          <c:dPt>
            <c:idx val="2"/>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1-B122-4195-BDC5-8603E44B6057}"/>
              </c:ext>
            </c:extLst>
          </c:dPt>
          <c:dPt>
            <c:idx val="3"/>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3-B122-4195-BDC5-8603E44B6057}"/>
              </c:ext>
            </c:extLst>
          </c:dPt>
          <c:dPt>
            <c:idx val="4"/>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5-B122-4195-BDC5-8603E44B6057}"/>
              </c:ext>
            </c:extLst>
          </c:dPt>
          <c:dPt>
            <c:idx val="5"/>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7-B122-4195-BDC5-8603E44B6057}"/>
              </c:ext>
            </c:extLst>
          </c:dPt>
          <c:dPt>
            <c:idx val="6"/>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9-B122-4195-BDC5-8603E44B6057}"/>
              </c:ext>
            </c:extLst>
          </c:dPt>
          <c:dPt>
            <c:idx val="7"/>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B-B122-4195-BDC5-8603E44B6057}"/>
              </c:ext>
            </c:extLst>
          </c:dPt>
          <c:dPt>
            <c:idx val="8"/>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D-B122-4195-BDC5-8603E44B6057}"/>
              </c:ext>
            </c:extLst>
          </c:dPt>
          <c:dPt>
            <c:idx val="9"/>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2F-B122-4195-BDC5-8603E44B6057}"/>
              </c:ext>
            </c:extLst>
          </c:dPt>
          <c:dPt>
            <c:idx val="10"/>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31-B122-4195-BDC5-8603E44B6057}"/>
              </c:ext>
            </c:extLst>
          </c:dPt>
          <c:dPt>
            <c:idx val="11"/>
            <c:bubble3D val="0"/>
            <c:spPr>
              <a:pattFill prst="ltHorz">
                <a:fgClr>
                  <a:schemeClr val="bg1"/>
                </a:fgClr>
                <a:bgClr>
                  <a:srgbClr val="404040"/>
                </a:bgClr>
              </a:pattFill>
              <a:ln w="3175">
                <a:solidFill>
                  <a:srgbClr val="404040"/>
                </a:solidFill>
              </a:ln>
              <a:effectLst/>
            </c:spPr>
            <c:extLst>
              <c:ext xmlns:c16="http://schemas.microsoft.com/office/drawing/2014/chart" uri="{C3380CC4-5D6E-409C-BE32-E72D297353CC}">
                <c16:uniqueId val="{00000033-B122-4195-BDC5-8603E44B6057}"/>
              </c:ext>
            </c:extLst>
          </c:dPt>
          <c:cat>
            <c:strRef>
              <c:f>'F8 Digitala produktioner 2020'!$A$7:$A$13</c:f>
              <c:strCache>
                <c:ptCount val="7"/>
                <c:pt idx="0">
                  <c:v>Musik</c:v>
                </c:pt>
                <c:pt idx="1">
                  <c:v>Teater</c:v>
                </c:pt>
                <c:pt idx="2">
                  <c:v>Musikteater </c:v>
                </c:pt>
                <c:pt idx="3">
                  <c:v>Dans</c:v>
                </c:pt>
                <c:pt idx="4">
                  <c:v>Samtida cirkus</c:v>
                </c:pt>
                <c:pt idx="5">
                  <c:v>Två scenkonstområden</c:v>
                </c:pt>
                <c:pt idx="6">
                  <c:v>Fler än två scenkonstområden</c:v>
                </c:pt>
              </c:strCache>
            </c:strRef>
          </c:cat>
          <c:val>
            <c:numRef>
              <c:f>'F8 Digitala produktioner 2020'!$C$7:$C$14</c:f>
              <c:numCache>
                <c:formatCode>0%</c:formatCode>
                <c:ptCount val="8"/>
                <c:pt idx="0">
                  <c:v>0.63458646616541359</c:v>
                </c:pt>
                <c:pt idx="1">
                  <c:v>0.1</c:v>
                </c:pt>
                <c:pt idx="2">
                  <c:v>4.5112781954887221E-3</c:v>
                </c:pt>
                <c:pt idx="3">
                  <c:v>9.7744360902255641E-3</c:v>
                </c:pt>
                <c:pt idx="4">
                  <c:v>8.2706766917293225E-3</c:v>
                </c:pt>
                <c:pt idx="5">
                  <c:v>0.14736842105263157</c:v>
                </c:pt>
                <c:pt idx="6">
                  <c:v>9.5488721804511276E-2</c:v>
                </c:pt>
                <c:pt idx="7">
                  <c:v>1</c:v>
                </c:pt>
              </c:numCache>
            </c:numRef>
          </c:val>
          <c:extLst>
            <c:ext xmlns:c16="http://schemas.microsoft.com/office/drawing/2014/chart" uri="{C3380CC4-5D6E-409C-BE32-E72D297353CC}">
              <c16:uniqueId val="{00000001-ACA7-4AC8-8A19-8BF68615E7A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clustered"/>
        <c:varyColors val="0"/>
        <c:ser>
          <c:idx val="0"/>
          <c:order val="0"/>
          <c:tx>
            <c:strRef>
              <c:f>'F9 Ekonomi 2019 och 2020'!$A$7</c:f>
              <c:strCache>
                <c:ptCount val="1"/>
                <c:pt idx="0">
                  <c:v>2020</c:v>
                </c:pt>
              </c:strCache>
            </c:strRef>
          </c:tx>
          <c:spPr>
            <a:solidFill>
              <a:srgbClr val="FFFFFF">
                <a:lumMod val="50000"/>
              </a:srgbClr>
            </a:solidFill>
            <a:ln w="3175">
              <a:noFill/>
            </a:ln>
            <a:effectLst/>
          </c:spPr>
          <c:invertIfNegative val="0"/>
          <c:cat>
            <c:strRef>
              <c:extLst>
                <c:ext xmlns:c15="http://schemas.microsoft.com/office/drawing/2012/chart" uri="{02D57815-91ED-43cb-92C2-25804820EDAC}">
                  <c15:fullRef>
                    <c15:sqref>'F9 Ekonomi 2019 och 2020'!$A$6:$C$6</c15:sqref>
                  </c15:fullRef>
                </c:ext>
              </c:extLst>
              <c:f>'F9 Ekonomi 2019 och 2020'!$B$6:$C$6</c:f>
              <c:strCache>
                <c:ptCount val="2"/>
                <c:pt idx="0">
                  <c:v>Intäkter, miljoner kr</c:v>
                </c:pt>
                <c:pt idx="1">
                  <c:v>Kostnader, miljoner kr</c:v>
                </c:pt>
              </c:strCache>
            </c:strRef>
          </c:cat>
          <c:val>
            <c:numRef>
              <c:extLst>
                <c:ext xmlns:c15="http://schemas.microsoft.com/office/drawing/2012/chart" uri="{02D57815-91ED-43cb-92C2-25804820EDAC}">
                  <c15:fullRef>
                    <c15:sqref>'F9 Ekonomi 2019 och 2020'!$A$7:$C$7</c15:sqref>
                  </c15:fullRef>
                </c:ext>
              </c:extLst>
              <c:f>'F9 Ekonomi 2019 och 2020'!$B$7:$C$7</c:f>
              <c:numCache>
                <c:formatCode>#,##0.00</c:formatCode>
                <c:ptCount val="2"/>
                <c:pt idx="0">
                  <c:v>5329.5216929999997</c:v>
                </c:pt>
                <c:pt idx="1">
                  <c:v>5213.2132620000002</c:v>
                </c:pt>
              </c:numCache>
            </c:numRef>
          </c:val>
          <c:extLst>
            <c:ext xmlns:c16="http://schemas.microsoft.com/office/drawing/2014/chart" uri="{C3380CC4-5D6E-409C-BE32-E72D297353CC}">
              <c16:uniqueId val="{00000000-752E-4270-9E35-A80BA2F28F81}"/>
            </c:ext>
          </c:extLst>
        </c:ser>
        <c:ser>
          <c:idx val="1"/>
          <c:order val="1"/>
          <c:tx>
            <c:strRef>
              <c:f>'F9 Ekonomi 2019 och 2020'!$A$8</c:f>
              <c:strCache>
                <c:ptCount val="1"/>
                <c:pt idx="0">
                  <c:v>2019</c:v>
                </c:pt>
              </c:strCache>
            </c:strRef>
          </c:tx>
          <c:spPr>
            <a:solidFill>
              <a:srgbClr val="FFFFFF">
                <a:lumMod val="85000"/>
              </a:srgbClr>
            </a:solidFill>
            <a:ln w="3175">
              <a:noFill/>
            </a:ln>
            <a:effectLst/>
          </c:spPr>
          <c:invertIfNegative val="0"/>
          <c:cat>
            <c:strRef>
              <c:extLst>
                <c:ext xmlns:c15="http://schemas.microsoft.com/office/drawing/2012/chart" uri="{02D57815-91ED-43cb-92C2-25804820EDAC}">
                  <c15:fullRef>
                    <c15:sqref>'F9 Ekonomi 2019 och 2020'!$A$6:$C$6</c15:sqref>
                  </c15:fullRef>
                </c:ext>
              </c:extLst>
              <c:f>'F9 Ekonomi 2019 och 2020'!$B$6:$C$6</c:f>
              <c:strCache>
                <c:ptCount val="2"/>
                <c:pt idx="0">
                  <c:v>Intäkter, miljoner kr</c:v>
                </c:pt>
                <c:pt idx="1">
                  <c:v>Kostnader, miljoner kr</c:v>
                </c:pt>
              </c:strCache>
            </c:strRef>
          </c:cat>
          <c:val>
            <c:numRef>
              <c:extLst>
                <c:ext xmlns:c15="http://schemas.microsoft.com/office/drawing/2012/chart" uri="{02D57815-91ED-43cb-92C2-25804820EDAC}">
                  <c15:fullRef>
                    <c15:sqref>'F9 Ekonomi 2019 och 2020'!$A$8:$C$8</c15:sqref>
                  </c15:fullRef>
                </c:ext>
              </c:extLst>
              <c:f>'F9 Ekonomi 2019 och 2020'!$B$8:$C$8</c:f>
              <c:numCache>
                <c:formatCode>#,##0.00</c:formatCode>
                <c:ptCount val="2"/>
                <c:pt idx="0">
                  <c:v>5738.4043650000003</c:v>
                </c:pt>
                <c:pt idx="1">
                  <c:v>5722.0573100000001</c:v>
                </c:pt>
              </c:numCache>
            </c:numRef>
          </c:val>
          <c:extLst>
            <c:ext xmlns:c16="http://schemas.microsoft.com/office/drawing/2014/chart" uri="{C3380CC4-5D6E-409C-BE32-E72D297353CC}">
              <c16:uniqueId val="{00000001-752E-4270-9E35-A80BA2F28F81}"/>
            </c:ext>
          </c:extLst>
        </c:ser>
        <c:dLbls>
          <c:showLegendKey val="0"/>
          <c:showVal val="0"/>
          <c:showCatName val="0"/>
          <c:showSerName val="0"/>
          <c:showPercent val="0"/>
          <c:showBubbleSize val="0"/>
        </c:dLbls>
        <c:gapWidth val="150"/>
        <c:axId val="869531791"/>
        <c:axId val="656137919"/>
      </c:barChart>
      <c:catAx>
        <c:axId val="869531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in val="0"/>
        </c:scaling>
        <c:delete val="0"/>
        <c:axPos val="b"/>
        <c:majorGridlines>
          <c:spPr>
            <a:ln w="9525" cap="flat" cmpd="sng" algn="ctr">
              <a:solidFill>
                <a:srgbClr val="D9D9D9"/>
              </a:solidFill>
              <a:round/>
            </a:ln>
            <a:effectLst/>
          </c:spPr>
        </c:majorGridlines>
        <c:numFmt formatCode="General"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valAx>
      <c:spPr>
        <a:noFill/>
        <a:ln>
          <a:solidFill>
            <a:srgbClr val="D9D9D9"/>
          </a:solidFill>
        </a:ln>
        <a:effectLst/>
      </c:spPr>
    </c:plotArea>
    <c:legend>
      <c:legendPos val="r"/>
      <c:overlay val="0"/>
      <c:spPr>
        <a:noFill/>
        <a:ln>
          <a:noFill/>
        </a:ln>
        <a:effectLst/>
      </c:spPr>
      <c:txPr>
        <a:bodyPr rot="0" spcFirstLastPara="1" vertOverflow="ellipsis" vert="horz" wrap="square" anchor="ctr" anchorCtr="1"/>
        <a:lstStyle/>
        <a:p>
          <a:pPr>
            <a:defRPr sz="13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'F10 Intäkter per intäktsslag'!$B$6</c:f>
              <c:strCache>
                <c:ptCount val="1"/>
                <c:pt idx="0">
                  <c:v>Kommunala bidrag</c:v>
                </c:pt>
              </c:strCache>
            </c:strRef>
          </c:tx>
          <c:spPr>
            <a:pattFill prst="pct50">
              <a:fgClr>
                <a:srgbClr val="8C8C8C"/>
              </a:fgClr>
              <a:bgClr>
                <a:schemeClr val="bg1"/>
              </a:bgClr>
            </a:pattFill>
            <a:ln w="3175">
              <a:solidFill>
                <a:srgbClr val="8C8C8C"/>
              </a:solidFill>
            </a:ln>
            <a:effectLst/>
          </c:spPr>
          <c:invertIfNegative val="0"/>
          <c:cat>
            <c:strRef>
              <c:f>'F10 Intäkter per intäktsslag'!$A$7:$A$12</c:f>
              <c:strCache>
                <c:ptCount val="6"/>
                <c:pt idx="0">
                  <c:v>Statlig huvudman</c:v>
                </c:pt>
                <c:pt idx="1">
                  <c:v>Regional huvudman</c:v>
                </c:pt>
                <c:pt idx="2">
                  <c:v>Kommunal huvudman</c:v>
                </c:pt>
                <c:pt idx="3">
                  <c:v>Annan huvudman</c:v>
                </c:pt>
                <c:pt idx="4">
                  <c:v>Totalt 2020</c:v>
                </c:pt>
                <c:pt idx="5">
                  <c:v>Totalt 2019</c:v>
                </c:pt>
              </c:strCache>
            </c:strRef>
          </c:cat>
          <c:val>
            <c:numRef>
              <c:f>'F10 Intäkter per intäktsslag'!$B$7:$B$12</c:f>
              <c:numCache>
                <c:formatCode>0%</c:formatCode>
                <c:ptCount val="6"/>
                <c:pt idx="0">
                  <c:v>0</c:v>
                </c:pt>
                <c:pt idx="1">
                  <c:v>6.544592031477478E-2</c:v>
                </c:pt>
                <c:pt idx="2">
                  <c:v>0.61065780865423047</c:v>
                </c:pt>
                <c:pt idx="3">
                  <c:v>0.21189877823981329</c:v>
                </c:pt>
                <c:pt idx="4">
                  <c:v>0.17743136858273681</c:v>
                </c:pt>
                <c:pt idx="5">
                  <c:v>0.16334084487379841</c:v>
                </c:pt>
              </c:numCache>
            </c:numRef>
          </c:val>
          <c:extLst>
            <c:ext xmlns:c16="http://schemas.microsoft.com/office/drawing/2014/chart" uri="{C3380CC4-5D6E-409C-BE32-E72D297353CC}">
              <c16:uniqueId val="{00000000-2F4D-40FF-8729-50DB6CB5CC04}"/>
            </c:ext>
          </c:extLst>
        </c:ser>
        <c:ser>
          <c:idx val="1"/>
          <c:order val="1"/>
          <c:tx>
            <c:strRef>
              <c:f>'F10 Intäkter per intäktsslag'!$C$6</c:f>
              <c:strCache>
                <c:ptCount val="1"/>
                <c:pt idx="0">
                  <c:v>Regionala bidrag</c:v>
                </c:pt>
              </c:strCache>
            </c:strRef>
          </c:tx>
          <c:spPr>
            <a:pattFill prst="ltHorz">
              <a:fgClr>
                <a:schemeClr val="bg1"/>
              </a:fgClr>
              <a:bgClr>
                <a:srgbClr val="404040"/>
              </a:bgClr>
            </a:pattFill>
            <a:ln w="3175">
              <a:solidFill>
                <a:srgbClr val="404040"/>
              </a:solidFill>
            </a:ln>
            <a:effectLst/>
          </c:spPr>
          <c:invertIfNegative val="0"/>
          <c:cat>
            <c:strRef>
              <c:f>'F10 Intäkter per intäktsslag'!$A$7:$A$12</c:f>
              <c:strCache>
                <c:ptCount val="6"/>
                <c:pt idx="0">
                  <c:v>Statlig huvudman</c:v>
                </c:pt>
                <c:pt idx="1">
                  <c:v>Regional huvudman</c:v>
                </c:pt>
                <c:pt idx="2">
                  <c:v>Kommunal huvudman</c:v>
                </c:pt>
                <c:pt idx="3">
                  <c:v>Annan huvudman</c:v>
                </c:pt>
                <c:pt idx="4">
                  <c:v>Totalt 2020</c:v>
                </c:pt>
                <c:pt idx="5">
                  <c:v>Totalt 2019</c:v>
                </c:pt>
              </c:strCache>
            </c:strRef>
          </c:cat>
          <c:val>
            <c:numRef>
              <c:f>'F10 Intäkter per intäktsslag'!$C$7:$C$12</c:f>
              <c:numCache>
                <c:formatCode>0%</c:formatCode>
                <c:ptCount val="6"/>
                <c:pt idx="0">
                  <c:v>0</c:v>
                </c:pt>
                <c:pt idx="1">
                  <c:v>0.52830244481750066</c:v>
                </c:pt>
                <c:pt idx="2">
                  <c:v>0.11523144721346892</c:v>
                </c:pt>
                <c:pt idx="3">
                  <c:v>0.31597342952408114</c:v>
                </c:pt>
                <c:pt idx="4">
                  <c:v>0.32033931552742467</c:v>
                </c:pt>
                <c:pt idx="5">
                  <c:v>0.294994509358733</c:v>
                </c:pt>
              </c:numCache>
            </c:numRef>
          </c:val>
          <c:extLst>
            <c:ext xmlns:c16="http://schemas.microsoft.com/office/drawing/2014/chart" uri="{C3380CC4-5D6E-409C-BE32-E72D297353CC}">
              <c16:uniqueId val="{00000001-2F4D-40FF-8729-50DB6CB5CC04}"/>
            </c:ext>
          </c:extLst>
        </c:ser>
        <c:ser>
          <c:idx val="2"/>
          <c:order val="2"/>
          <c:tx>
            <c:strRef>
              <c:f>'F10 Intäkter per intäktsslag'!$D$6</c:f>
              <c:strCache>
                <c:ptCount val="1"/>
                <c:pt idx="0">
                  <c:v>Statliga bidrag</c:v>
                </c:pt>
              </c:strCache>
            </c:strRef>
          </c:tx>
          <c:spPr>
            <a:pattFill prst="ltUpDiag">
              <a:fgClr>
                <a:schemeClr val="bg1"/>
              </a:fgClr>
              <a:bgClr>
                <a:srgbClr val="404040"/>
              </a:bgClr>
            </a:pattFill>
            <a:ln w="3175">
              <a:solidFill>
                <a:srgbClr val="404040"/>
              </a:solidFill>
            </a:ln>
            <a:effectLst/>
          </c:spPr>
          <c:invertIfNegative val="0"/>
          <c:cat>
            <c:strRef>
              <c:f>'F10 Intäkter per intäktsslag'!$A$7:$A$12</c:f>
              <c:strCache>
                <c:ptCount val="6"/>
                <c:pt idx="0">
                  <c:v>Statlig huvudman</c:v>
                </c:pt>
                <c:pt idx="1">
                  <c:v>Regional huvudman</c:v>
                </c:pt>
                <c:pt idx="2">
                  <c:v>Kommunal huvudman</c:v>
                </c:pt>
                <c:pt idx="3">
                  <c:v>Annan huvudman</c:v>
                </c:pt>
                <c:pt idx="4">
                  <c:v>Totalt 2020</c:v>
                </c:pt>
                <c:pt idx="5">
                  <c:v>Totalt 2019</c:v>
                </c:pt>
              </c:strCache>
            </c:strRef>
          </c:cat>
          <c:val>
            <c:numRef>
              <c:f>'F10 Intäkter per intäktsslag'!$D$7:$D$12</c:f>
              <c:numCache>
                <c:formatCode>0%</c:formatCode>
                <c:ptCount val="6"/>
                <c:pt idx="0">
                  <c:v>0.91701898912765667</c:v>
                </c:pt>
                <c:pt idx="1">
                  <c:v>0.31433949982051146</c:v>
                </c:pt>
                <c:pt idx="2">
                  <c:v>0.20544356336221564</c:v>
                </c:pt>
                <c:pt idx="3">
                  <c:v>0.25275885540866533</c:v>
                </c:pt>
                <c:pt idx="4">
                  <c:v>0.38542302871286271</c:v>
                </c:pt>
                <c:pt idx="5">
                  <c:v>0.32525005955043723</c:v>
                </c:pt>
              </c:numCache>
            </c:numRef>
          </c:val>
          <c:extLst>
            <c:ext xmlns:c16="http://schemas.microsoft.com/office/drawing/2014/chart" uri="{C3380CC4-5D6E-409C-BE32-E72D297353CC}">
              <c16:uniqueId val="{00000002-2F4D-40FF-8729-50DB6CB5CC04}"/>
            </c:ext>
          </c:extLst>
        </c:ser>
        <c:ser>
          <c:idx val="3"/>
          <c:order val="3"/>
          <c:tx>
            <c:strRef>
              <c:f>'F10 Intäkter per intäktsslag'!$E$6</c:f>
              <c:strCache>
                <c:ptCount val="1"/>
                <c:pt idx="0">
                  <c:v>Övriga bidrag</c:v>
                </c:pt>
              </c:strCache>
            </c:strRef>
          </c:tx>
          <c:spPr>
            <a:pattFill prst="openDmnd">
              <a:fgClr>
                <a:schemeClr val="bg1"/>
              </a:fgClr>
              <a:bgClr>
                <a:srgbClr val="8C8C8C"/>
              </a:bgClr>
            </a:pattFill>
            <a:ln w="3175">
              <a:solidFill>
                <a:srgbClr val="8C8C8C"/>
              </a:solidFill>
            </a:ln>
            <a:effectLst/>
          </c:spPr>
          <c:invertIfNegative val="0"/>
          <c:cat>
            <c:strRef>
              <c:f>'F10 Intäkter per intäktsslag'!$A$7:$A$12</c:f>
              <c:strCache>
                <c:ptCount val="6"/>
                <c:pt idx="0">
                  <c:v>Statlig huvudman</c:v>
                </c:pt>
                <c:pt idx="1">
                  <c:v>Regional huvudman</c:v>
                </c:pt>
                <c:pt idx="2">
                  <c:v>Kommunal huvudman</c:v>
                </c:pt>
                <c:pt idx="3">
                  <c:v>Annan huvudman</c:v>
                </c:pt>
                <c:pt idx="4">
                  <c:v>Totalt 2020</c:v>
                </c:pt>
                <c:pt idx="5">
                  <c:v>Totalt 2019</c:v>
                </c:pt>
              </c:strCache>
            </c:strRef>
          </c:cat>
          <c:val>
            <c:numRef>
              <c:f>'F10 Intäkter per intäktsslag'!$E$7:$E$12</c:f>
              <c:numCache>
                <c:formatCode>0%</c:formatCode>
                <c:ptCount val="6"/>
                <c:pt idx="0">
                  <c:v>1.8857409431372542E-4</c:v>
                </c:pt>
                <c:pt idx="1">
                  <c:v>7.0428289646113067E-3</c:v>
                </c:pt>
                <c:pt idx="2">
                  <c:v>4.8017525983293681E-3</c:v>
                </c:pt>
                <c:pt idx="3">
                  <c:v>0.12480243656755841</c:v>
                </c:pt>
                <c:pt idx="4">
                  <c:v>3.340523523368303E-2</c:v>
                </c:pt>
                <c:pt idx="5">
                  <c:v>3.3771095924531362E-2</c:v>
                </c:pt>
              </c:numCache>
            </c:numRef>
          </c:val>
          <c:extLst>
            <c:ext xmlns:c16="http://schemas.microsoft.com/office/drawing/2014/chart" uri="{C3380CC4-5D6E-409C-BE32-E72D297353CC}">
              <c16:uniqueId val="{00000003-2F4D-40FF-8729-50DB6CB5CC04}"/>
            </c:ext>
          </c:extLst>
        </c:ser>
        <c:ser>
          <c:idx val="4"/>
          <c:order val="4"/>
          <c:tx>
            <c:strRef>
              <c:f>'F10 Intäkter per intäktsslag'!$F$6</c:f>
              <c:strCache>
                <c:ptCount val="1"/>
                <c:pt idx="0">
                  <c:v>Verksamhetsintäkter</c:v>
                </c:pt>
              </c:strCache>
            </c:strRef>
          </c:tx>
          <c:spPr>
            <a:pattFill prst="pct30">
              <a:fgClr>
                <a:srgbClr val="404040"/>
              </a:fgClr>
              <a:bgClr>
                <a:schemeClr val="bg1"/>
              </a:bgClr>
            </a:pattFill>
            <a:ln w="3175">
              <a:solidFill>
                <a:srgbClr val="404040"/>
              </a:solidFill>
            </a:ln>
            <a:effectLst/>
          </c:spPr>
          <c:invertIfNegative val="0"/>
          <c:cat>
            <c:strRef>
              <c:f>'F10 Intäkter per intäktsslag'!$A$7:$A$12</c:f>
              <c:strCache>
                <c:ptCount val="6"/>
                <c:pt idx="0">
                  <c:v>Statlig huvudman</c:v>
                </c:pt>
                <c:pt idx="1">
                  <c:v>Regional huvudman</c:v>
                </c:pt>
                <c:pt idx="2">
                  <c:v>Kommunal huvudman</c:v>
                </c:pt>
                <c:pt idx="3">
                  <c:v>Annan huvudman</c:v>
                </c:pt>
                <c:pt idx="4">
                  <c:v>Totalt 2020</c:v>
                </c:pt>
                <c:pt idx="5">
                  <c:v>Totalt 2019</c:v>
                </c:pt>
              </c:strCache>
            </c:strRef>
          </c:cat>
          <c:val>
            <c:numRef>
              <c:f>'F10 Intäkter per intäktsslag'!$F$7:$F$12</c:f>
              <c:numCache>
                <c:formatCode>0%</c:formatCode>
                <c:ptCount val="6"/>
                <c:pt idx="0">
                  <c:v>4.8411542977691034E-2</c:v>
                </c:pt>
                <c:pt idx="1">
                  <c:v>6.267498858185247E-2</c:v>
                </c:pt>
                <c:pt idx="2">
                  <c:v>4.2388984097260864E-2</c:v>
                </c:pt>
                <c:pt idx="3">
                  <c:v>6.5141794612314549E-2</c:v>
                </c:pt>
                <c:pt idx="4">
                  <c:v>5.7520274423849597E-2</c:v>
                </c:pt>
                <c:pt idx="5">
                  <c:v>0.13796044071166697</c:v>
                </c:pt>
              </c:numCache>
            </c:numRef>
          </c:val>
          <c:extLst>
            <c:ext xmlns:c16="http://schemas.microsoft.com/office/drawing/2014/chart" uri="{C3380CC4-5D6E-409C-BE32-E72D297353CC}">
              <c16:uniqueId val="{00000004-2F4D-40FF-8729-50DB6CB5CC04}"/>
            </c:ext>
          </c:extLst>
        </c:ser>
        <c:ser>
          <c:idx val="5"/>
          <c:order val="5"/>
          <c:tx>
            <c:strRef>
              <c:f>'F10 Intäkter per intäktsslag'!$G$6</c:f>
              <c:strCache>
                <c:ptCount val="1"/>
                <c:pt idx="0">
                  <c:v>Sponsring och donationer</c:v>
                </c:pt>
              </c:strCache>
            </c:strRef>
          </c:tx>
          <c:spPr>
            <a:pattFill prst="zigZag">
              <a:fgClr>
                <a:schemeClr val="bg1"/>
              </a:fgClr>
              <a:bgClr>
                <a:srgbClr val="404040"/>
              </a:bgClr>
            </a:pattFill>
            <a:ln w="3175">
              <a:solidFill>
                <a:srgbClr val="404040"/>
              </a:solidFill>
            </a:ln>
            <a:effectLst/>
          </c:spPr>
          <c:invertIfNegative val="0"/>
          <c:cat>
            <c:strRef>
              <c:f>'F10 Intäkter per intäktsslag'!$A$7:$A$12</c:f>
              <c:strCache>
                <c:ptCount val="6"/>
                <c:pt idx="0">
                  <c:v>Statlig huvudman</c:v>
                </c:pt>
                <c:pt idx="1">
                  <c:v>Regional huvudman</c:v>
                </c:pt>
                <c:pt idx="2">
                  <c:v>Kommunal huvudman</c:v>
                </c:pt>
                <c:pt idx="3">
                  <c:v>Annan huvudman</c:v>
                </c:pt>
                <c:pt idx="4">
                  <c:v>Totalt 2020</c:v>
                </c:pt>
                <c:pt idx="5">
                  <c:v>Totalt 2019</c:v>
                </c:pt>
              </c:strCache>
            </c:strRef>
          </c:cat>
          <c:val>
            <c:numRef>
              <c:f>'F10 Intäkter per intäktsslag'!$G$7:$G$12</c:f>
              <c:numCache>
                <c:formatCode>0%</c:formatCode>
                <c:ptCount val="6"/>
                <c:pt idx="0">
                  <c:v>5.5577883349295261E-3</c:v>
                </c:pt>
                <c:pt idx="1">
                  <c:v>9.4567768460442018E-3</c:v>
                </c:pt>
                <c:pt idx="2">
                  <c:v>4.2698583336407388E-3</c:v>
                </c:pt>
                <c:pt idx="3">
                  <c:v>4.9637418763133533E-3</c:v>
                </c:pt>
                <c:pt idx="4">
                  <c:v>6.8815474852723432E-3</c:v>
                </c:pt>
                <c:pt idx="5">
                  <c:v>8.3045636486946631E-3</c:v>
                </c:pt>
              </c:numCache>
            </c:numRef>
          </c:val>
          <c:extLst>
            <c:ext xmlns:c16="http://schemas.microsoft.com/office/drawing/2014/chart" uri="{C3380CC4-5D6E-409C-BE32-E72D297353CC}">
              <c16:uniqueId val="{00000005-2F4D-40FF-8729-50DB6CB5CC04}"/>
            </c:ext>
          </c:extLst>
        </c:ser>
        <c:ser>
          <c:idx val="6"/>
          <c:order val="6"/>
          <c:tx>
            <c:strRef>
              <c:f>'F10 Intäkter per intäktsslag'!$H$6</c:f>
              <c:strCache>
                <c:ptCount val="1"/>
                <c:pt idx="0">
                  <c:v>Övriga Intäkter</c:v>
                </c:pt>
              </c:strCache>
            </c:strRef>
          </c:tx>
          <c:spPr>
            <a:pattFill prst="narHorz">
              <a:fgClr>
                <a:srgbClr val="8C8C8C"/>
              </a:fgClr>
              <a:bgClr>
                <a:schemeClr val="bg1"/>
              </a:bgClr>
            </a:pattFill>
            <a:ln w="3175">
              <a:solidFill>
                <a:srgbClr val="8C8C8C"/>
              </a:solidFill>
            </a:ln>
            <a:effectLst/>
          </c:spPr>
          <c:invertIfNegative val="0"/>
          <c:cat>
            <c:strRef>
              <c:f>'F10 Intäkter per intäktsslag'!$A$7:$A$12</c:f>
              <c:strCache>
                <c:ptCount val="6"/>
                <c:pt idx="0">
                  <c:v>Statlig huvudman</c:v>
                </c:pt>
                <c:pt idx="1">
                  <c:v>Regional huvudman</c:v>
                </c:pt>
                <c:pt idx="2">
                  <c:v>Kommunal huvudman</c:v>
                </c:pt>
                <c:pt idx="3">
                  <c:v>Annan huvudman</c:v>
                </c:pt>
                <c:pt idx="4">
                  <c:v>Totalt 2020</c:v>
                </c:pt>
                <c:pt idx="5">
                  <c:v>Totalt 2019</c:v>
                </c:pt>
              </c:strCache>
            </c:strRef>
          </c:cat>
          <c:val>
            <c:numRef>
              <c:f>'F10 Intäkter per intäktsslag'!$H$7:$H$12</c:f>
              <c:numCache>
                <c:formatCode>0%</c:formatCode>
                <c:ptCount val="6"/>
                <c:pt idx="0">
                  <c:v>2.8823105465409098E-2</c:v>
                </c:pt>
                <c:pt idx="1">
                  <c:v>1.2737540654705138E-2</c:v>
                </c:pt>
                <c:pt idx="2">
                  <c:v>1.7206585740853961E-2</c:v>
                </c:pt>
                <c:pt idx="3">
                  <c:v>2.4460963771253931E-2</c:v>
                </c:pt>
                <c:pt idx="4">
                  <c:v>1.8999230034170832E-2</c:v>
                </c:pt>
                <c:pt idx="5">
                  <c:v>3.6378485932138362E-2</c:v>
                </c:pt>
              </c:numCache>
            </c:numRef>
          </c:val>
          <c:extLst>
            <c:ext xmlns:c16="http://schemas.microsoft.com/office/drawing/2014/chart" uri="{C3380CC4-5D6E-409C-BE32-E72D297353CC}">
              <c16:uniqueId val="{00000006-2F4D-40FF-8729-50DB6CB5CC04}"/>
            </c:ext>
          </c:extLst>
        </c:ser>
        <c:dLbls>
          <c:showLegendKey val="0"/>
          <c:showVal val="0"/>
          <c:showCatName val="0"/>
          <c:showSerName val="0"/>
          <c:showPercent val="0"/>
          <c:showBubbleSize val="0"/>
        </c:dLbls>
        <c:gapWidth val="100"/>
        <c:overlap val="100"/>
        <c:axId val="869531791"/>
        <c:axId val="656137919"/>
      </c:barChart>
      <c:catAx>
        <c:axId val="869531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
        </c:scaling>
        <c:delete val="0"/>
        <c:axPos val="l"/>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valAx>
      <c:spPr>
        <a:noFill/>
        <a:ln>
          <a:solidFill>
            <a:srgbClr val="D9D9D9"/>
          </a:solidFill>
        </a:ln>
        <a:effectLst/>
      </c:spPr>
    </c:plotArea>
    <c:legend>
      <c:legendPos val="r"/>
      <c:overlay val="0"/>
      <c:spPr>
        <a:noFill/>
        <a:ln>
          <a:noFill/>
        </a:ln>
        <a:effectLst/>
      </c:spPr>
      <c:txPr>
        <a:bodyPr rot="0" spcFirstLastPara="1" vertOverflow="ellipsis" vert="horz" wrap="square" anchor="ctr" anchorCtr="1"/>
        <a:lstStyle/>
        <a:p>
          <a:pPr>
            <a:defRPr sz="13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'F11 Kostnader per kostnadsslag'!$B$6</c:f>
              <c:strCache>
                <c:ptCount val="1"/>
                <c:pt idx="0">
                  <c:v>Personalkostnader</c:v>
                </c:pt>
              </c:strCache>
            </c:strRef>
          </c:tx>
          <c:spPr>
            <a:pattFill prst="pct50">
              <a:fgClr>
                <a:srgbClr val="8C8C8C"/>
              </a:fgClr>
              <a:bgClr>
                <a:schemeClr val="bg1"/>
              </a:bgClr>
            </a:pattFill>
            <a:ln w="3175">
              <a:solidFill>
                <a:srgbClr val="8C8C8C"/>
              </a:solidFill>
            </a:ln>
            <a:effectLst/>
          </c:spPr>
          <c:invertIfNegative val="0"/>
          <c:cat>
            <c:strRef>
              <c:f>'F11 Kostnader per kostnadsslag'!$A$7:$A$12</c:f>
              <c:strCache>
                <c:ptCount val="6"/>
                <c:pt idx="0">
                  <c:v>Statlig huvudman</c:v>
                </c:pt>
                <c:pt idx="1">
                  <c:v>Regional huvudman</c:v>
                </c:pt>
                <c:pt idx="2">
                  <c:v>Kommunal huvudman</c:v>
                </c:pt>
                <c:pt idx="3">
                  <c:v>Annan huvudman</c:v>
                </c:pt>
                <c:pt idx="4">
                  <c:v>Totalt 2020</c:v>
                </c:pt>
                <c:pt idx="5">
                  <c:v>Totalt 2019</c:v>
                </c:pt>
              </c:strCache>
            </c:strRef>
          </c:cat>
          <c:val>
            <c:numRef>
              <c:f>'F11 Kostnader per kostnadsslag'!$B$7:$B$12</c:f>
              <c:numCache>
                <c:formatCode>0%</c:formatCode>
                <c:ptCount val="6"/>
                <c:pt idx="0">
                  <c:v>0.66043001831393089</c:v>
                </c:pt>
                <c:pt idx="1">
                  <c:v>0.6252154417108553</c:v>
                </c:pt>
                <c:pt idx="2">
                  <c:v>0.56815330673278297</c:v>
                </c:pt>
                <c:pt idx="3">
                  <c:v>0.61478060383122735</c:v>
                </c:pt>
                <c:pt idx="4">
                  <c:v>0.6195084078545865</c:v>
                </c:pt>
                <c:pt idx="5">
                  <c:v>0.59</c:v>
                </c:pt>
              </c:numCache>
            </c:numRef>
          </c:val>
          <c:extLst>
            <c:ext xmlns:c16="http://schemas.microsoft.com/office/drawing/2014/chart" uri="{C3380CC4-5D6E-409C-BE32-E72D297353CC}">
              <c16:uniqueId val="{00000000-2F4D-40FF-8729-50DB6CB5CC04}"/>
            </c:ext>
          </c:extLst>
        </c:ser>
        <c:ser>
          <c:idx val="1"/>
          <c:order val="1"/>
          <c:tx>
            <c:strRef>
              <c:f>'F11 Kostnader per kostnadsslag'!$C$6</c:f>
              <c:strCache>
                <c:ptCount val="1"/>
                <c:pt idx="0">
                  <c:v>Lokalkostnader</c:v>
                </c:pt>
              </c:strCache>
            </c:strRef>
          </c:tx>
          <c:spPr>
            <a:pattFill prst="ltHorz">
              <a:fgClr>
                <a:schemeClr val="bg1"/>
              </a:fgClr>
              <a:bgClr>
                <a:srgbClr val="404040"/>
              </a:bgClr>
            </a:pattFill>
            <a:ln w="3175">
              <a:solidFill>
                <a:srgbClr val="404040"/>
              </a:solidFill>
            </a:ln>
            <a:effectLst/>
          </c:spPr>
          <c:invertIfNegative val="0"/>
          <c:cat>
            <c:strRef>
              <c:f>'F11 Kostnader per kostnadsslag'!$A$7:$A$12</c:f>
              <c:strCache>
                <c:ptCount val="6"/>
                <c:pt idx="0">
                  <c:v>Statlig huvudman</c:v>
                </c:pt>
                <c:pt idx="1">
                  <c:v>Regional huvudman</c:v>
                </c:pt>
                <c:pt idx="2">
                  <c:v>Kommunal huvudman</c:v>
                </c:pt>
                <c:pt idx="3">
                  <c:v>Annan huvudman</c:v>
                </c:pt>
                <c:pt idx="4">
                  <c:v>Totalt 2020</c:v>
                </c:pt>
                <c:pt idx="5">
                  <c:v>Totalt 2019</c:v>
                </c:pt>
              </c:strCache>
            </c:strRef>
          </c:cat>
          <c:val>
            <c:numRef>
              <c:f>'F11 Kostnader per kostnadsslag'!$C$7:$C$12</c:f>
              <c:numCache>
                <c:formatCode>0%</c:formatCode>
                <c:ptCount val="6"/>
                <c:pt idx="0">
                  <c:v>0.10890355620660763</c:v>
                </c:pt>
                <c:pt idx="1">
                  <c:v>9.1350364756091956E-2</c:v>
                </c:pt>
                <c:pt idx="2">
                  <c:v>0.17819611608769545</c:v>
                </c:pt>
                <c:pt idx="3">
                  <c:v>0.10272270479166556</c:v>
                </c:pt>
                <c:pt idx="4">
                  <c:v>0.11106873460062582</c:v>
                </c:pt>
                <c:pt idx="5">
                  <c:v>0.1</c:v>
                </c:pt>
              </c:numCache>
            </c:numRef>
          </c:val>
          <c:extLst>
            <c:ext xmlns:c16="http://schemas.microsoft.com/office/drawing/2014/chart" uri="{C3380CC4-5D6E-409C-BE32-E72D297353CC}">
              <c16:uniqueId val="{00000001-2F4D-40FF-8729-50DB6CB5CC04}"/>
            </c:ext>
          </c:extLst>
        </c:ser>
        <c:ser>
          <c:idx val="2"/>
          <c:order val="2"/>
          <c:tx>
            <c:strRef>
              <c:f>'F11 Kostnader per kostnadsslag'!$D$6</c:f>
              <c:strCache>
                <c:ptCount val="1"/>
                <c:pt idx="0">
                  <c:v>Andra verksamhetskostnader</c:v>
                </c:pt>
              </c:strCache>
            </c:strRef>
          </c:tx>
          <c:spPr>
            <a:pattFill prst="ltUpDiag">
              <a:fgClr>
                <a:schemeClr val="bg1"/>
              </a:fgClr>
              <a:bgClr>
                <a:srgbClr val="404040"/>
              </a:bgClr>
            </a:pattFill>
            <a:ln w="3175">
              <a:solidFill>
                <a:srgbClr val="404040"/>
              </a:solidFill>
            </a:ln>
            <a:effectLst/>
          </c:spPr>
          <c:invertIfNegative val="0"/>
          <c:cat>
            <c:strRef>
              <c:f>'F11 Kostnader per kostnadsslag'!$A$7:$A$12</c:f>
              <c:strCache>
                <c:ptCount val="6"/>
                <c:pt idx="0">
                  <c:v>Statlig huvudman</c:v>
                </c:pt>
                <c:pt idx="1">
                  <c:v>Regional huvudman</c:v>
                </c:pt>
                <c:pt idx="2">
                  <c:v>Kommunal huvudman</c:v>
                </c:pt>
                <c:pt idx="3">
                  <c:v>Annan huvudman</c:v>
                </c:pt>
                <c:pt idx="4">
                  <c:v>Totalt 2020</c:v>
                </c:pt>
                <c:pt idx="5">
                  <c:v>Totalt 2019</c:v>
                </c:pt>
              </c:strCache>
            </c:strRef>
          </c:cat>
          <c:val>
            <c:numRef>
              <c:f>'F11 Kostnader per kostnadsslag'!$D$7:$D$12</c:f>
              <c:numCache>
                <c:formatCode>0%</c:formatCode>
                <c:ptCount val="6"/>
                <c:pt idx="0">
                  <c:v>0.20091481467557085</c:v>
                </c:pt>
                <c:pt idx="1">
                  <c:v>0.26429728164094485</c:v>
                </c:pt>
                <c:pt idx="2">
                  <c:v>0.23128350309341847</c:v>
                </c:pt>
                <c:pt idx="3">
                  <c:v>0.26808896955739964</c:v>
                </c:pt>
                <c:pt idx="4">
                  <c:v>0.24515646103906732</c:v>
                </c:pt>
                <c:pt idx="5">
                  <c:v>0.28999999999999998</c:v>
                </c:pt>
              </c:numCache>
            </c:numRef>
          </c:val>
          <c:extLst>
            <c:ext xmlns:c16="http://schemas.microsoft.com/office/drawing/2014/chart" uri="{C3380CC4-5D6E-409C-BE32-E72D297353CC}">
              <c16:uniqueId val="{00000002-2F4D-40FF-8729-50DB6CB5CC04}"/>
            </c:ext>
          </c:extLst>
        </c:ser>
        <c:ser>
          <c:idx val="3"/>
          <c:order val="3"/>
          <c:tx>
            <c:strRef>
              <c:f>'F11 Kostnader per kostnadsslag'!$E$6</c:f>
              <c:strCache>
                <c:ptCount val="1"/>
                <c:pt idx="0">
                  <c:v>Finansiella kostnader och avskrivningar</c:v>
                </c:pt>
              </c:strCache>
            </c:strRef>
          </c:tx>
          <c:spPr>
            <a:pattFill prst="openDmnd">
              <a:fgClr>
                <a:schemeClr val="bg1"/>
              </a:fgClr>
              <a:bgClr>
                <a:srgbClr val="8C8C8C"/>
              </a:bgClr>
            </a:pattFill>
            <a:ln w="3175">
              <a:solidFill>
                <a:srgbClr val="8C8C8C"/>
              </a:solidFill>
            </a:ln>
            <a:effectLst/>
          </c:spPr>
          <c:invertIfNegative val="0"/>
          <c:cat>
            <c:strRef>
              <c:f>'F11 Kostnader per kostnadsslag'!$A$7:$A$12</c:f>
              <c:strCache>
                <c:ptCount val="6"/>
                <c:pt idx="0">
                  <c:v>Statlig huvudman</c:v>
                </c:pt>
                <c:pt idx="1">
                  <c:v>Regional huvudman</c:v>
                </c:pt>
                <c:pt idx="2">
                  <c:v>Kommunal huvudman</c:v>
                </c:pt>
                <c:pt idx="3">
                  <c:v>Annan huvudman</c:v>
                </c:pt>
                <c:pt idx="4">
                  <c:v>Totalt 2020</c:v>
                </c:pt>
                <c:pt idx="5">
                  <c:v>Totalt 2019</c:v>
                </c:pt>
              </c:strCache>
            </c:strRef>
          </c:cat>
          <c:val>
            <c:numRef>
              <c:f>'F11 Kostnader per kostnadsslag'!$E$7:$E$12</c:f>
              <c:numCache>
                <c:formatCode>0%</c:formatCode>
                <c:ptCount val="6"/>
                <c:pt idx="0">
                  <c:v>2.9751610803890622E-2</c:v>
                </c:pt>
                <c:pt idx="1">
                  <c:v>1.9136911892107967E-2</c:v>
                </c:pt>
                <c:pt idx="2">
                  <c:v>2.2367074086103594E-2</c:v>
                </c:pt>
                <c:pt idx="3">
                  <c:v>1.44077218197075E-2</c:v>
                </c:pt>
                <c:pt idx="4">
                  <c:v>2.0351664395421003E-2</c:v>
                </c:pt>
                <c:pt idx="5">
                  <c:v>0.02</c:v>
                </c:pt>
              </c:numCache>
            </c:numRef>
          </c:val>
          <c:extLst>
            <c:ext xmlns:c16="http://schemas.microsoft.com/office/drawing/2014/chart" uri="{C3380CC4-5D6E-409C-BE32-E72D297353CC}">
              <c16:uniqueId val="{00000003-2F4D-40FF-8729-50DB6CB5CC04}"/>
            </c:ext>
          </c:extLst>
        </c:ser>
        <c:dLbls>
          <c:showLegendKey val="0"/>
          <c:showVal val="0"/>
          <c:showCatName val="0"/>
          <c:showSerName val="0"/>
          <c:showPercent val="0"/>
          <c:showBubbleSize val="0"/>
        </c:dLbls>
        <c:gapWidth val="100"/>
        <c:overlap val="100"/>
        <c:axId val="869531791"/>
        <c:axId val="656137919"/>
      </c:barChart>
      <c:catAx>
        <c:axId val="869531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656137919"/>
        <c:crosses val="autoZero"/>
        <c:auto val="1"/>
        <c:lblAlgn val="ctr"/>
        <c:lblOffset val="100"/>
        <c:noMultiLvlLbl val="0"/>
      </c:catAx>
      <c:valAx>
        <c:axId val="656137919"/>
        <c:scaling>
          <c:orientation val="minMax"/>
          <c:max val="1"/>
        </c:scaling>
        <c:delete val="0"/>
        <c:axPos val="l"/>
        <c:majorGridlines>
          <c:spPr>
            <a:ln w="9525" cap="flat" cmpd="sng" algn="ctr">
              <a:solidFill>
                <a:srgbClr val="D9D9D9"/>
              </a:solidFill>
              <a:round/>
            </a:ln>
            <a:effectLst/>
          </c:spPr>
        </c:majorGridlines>
        <c:numFmt formatCode="0%" sourceLinked="1"/>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869531791"/>
        <c:crosses val="autoZero"/>
        <c:crossBetween val="between"/>
      </c:valAx>
      <c:spPr>
        <a:noFill/>
        <a:ln>
          <a:solidFill>
            <a:srgbClr val="D9D9D9"/>
          </a:solidFill>
        </a:ln>
        <a:effectLst/>
      </c:spPr>
    </c:plotArea>
    <c:legend>
      <c:legendPos val="r"/>
      <c:overlay val="0"/>
      <c:spPr>
        <a:noFill/>
        <a:ln>
          <a:noFill/>
        </a:ln>
        <a:effectLst/>
      </c:spPr>
      <c:txPr>
        <a:bodyPr rot="0" spcFirstLastPara="1" vertOverflow="ellipsis" vert="horz" wrap="square" anchor="ctr" anchorCtr="1"/>
        <a:lstStyle/>
        <a:p>
          <a:pPr>
            <a:defRPr sz="1300" b="0" i="0" u="none" strike="noStrike" kern="1200" baseline="-100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619125</xdr:colOff>
      <xdr:row>1</xdr:row>
      <xdr:rowOff>219075</xdr:rowOff>
    </xdr:from>
    <xdr:to>
      <xdr:col>9</xdr:col>
      <xdr:colOff>123825</xdr:colOff>
      <xdr:row>12</xdr:row>
      <xdr:rowOff>142875</xdr:rowOff>
    </xdr:to>
    <xdr:pic>
      <xdr:nvPicPr>
        <xdr:cNvPr id="4" name="Bildobjekt 3" descr="Karta över antal scenkonstverksamheter per kommun. 42 kommuner har minst en scenkonstverksamhet, varav flest återfinns i storstadskommunerna Stockholm, Göteborg och Malmö. ">
          <a:extLst>
            <a:ext uri="{FF2B5EF4-FFF2-40B4-BE49-F238E27FC236}">
              <a16:creationId xmlns:a16="http://schemas.microsoft.com/office/drawing/2014/main" id="{498296AC-4C9E-4301-BAF2-55540194820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53" t="17316" r="23627" b="3592"/>
        <a:stretch/>
      </xdr:blipFill>
      <xdr:spPr>
        <a:xfrm>
          <a:off x="619125" y="381000"/>
          <a:ext cx="5334000" cy="67437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180975</xdr:colOff>
      <xdr:row>2</xdr:row>
      <xdr:rowOff>95250</xdr:rowOff>
    </xdr:from>
    <xdr:to>
      <xdr:col>11</xdr:col>
      <xdr:colOff>269080</xdr:colOff>
      <xdr:row>2</xdr:row>
      <xdr:rowOff>3771900</xdr:rowOff>
    </xdr:to>
    <xdr:graphicFrame macro="">
      <xdr:nvGraphicFramePr>
        <xdr:cNvPr id="2" name="Diagram 1" descr="Stapeldiagram över intäkter per intäktsslag totalt och uppdelat per huvudman. Offentliga bidrag från stat, regioner och kommuner utgör 92 procent av de samlade intäkterna. Övriga intäktsposter är verksamhetsintäkter, sponsring och donationer samt övriga intäkter. ">
          <a:extLst>
            <a:ext uri="{FF2B5EF4-FFF2-40B4-BE49-F238E27FC236}">
              <a16:creationId xmlns:a16="http://schemas.microsoft.com/office/drawing/2014/main" id="{35019D34-F6BC-4212-BE8B-1FADCBA90B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2</xdr:row>
      <xdr:rowOff>114300</xdr:rowOff>
    </xdr:from>
    <xdr:to>
      <xdr:col>9</xdr:col>
      <xdr:colOff>485776</xdr:colOff>
      <xdr:row>2</xdr:row>
      <xdr:rowOff>2286000</xdr:rowOff>
    </xdr:to>
    <xdr:graphicFrame macro="">
      <xdr:nvGraphicFramePr>
        <xdr:cNvPr id="2" name="Diagram 1" descr="Stapeldiagram över kostnader per kostnadsslag totalt och uppdelat per huvudman.  Personalkostnader utgör 62 procent av de samlade kostnaderna. Övriga kostnadsposter är lokalkostnader, andra verksamhetskostnader, finansiella kostnader och avskrivningar. ">
          <a:extLst>
            <a:ext uri="{FF2B5EF4-FFF2-40B4-BE49-F238E27FC236}">
              <a16:creationId xmlns:a16="http://schemas.microsoft.com/office/drawing/2014/main" id="{46BEDE14-2A0B-4856-ABB0-95EC5A671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114300</xdr:colOff>
      <xdr:row>2</xdr:row>
      <xdr:rowOff>123825</xdr:rowOff>
    </xdr:from>
    <xdr:to>
      <xdr:col>7</xdr:col>
      <xdr:colOff>114300</xdr:colOff>
      <xdr:row>2</xdr:row>
      <xdr:rowOff>3028950</xdr:rowOff>
    </xdr:to>
    <xdr:graphicFrame macro="">
      <xdr:nvGraphicFramePr>
        <xdr:cNvPr id="2" name="Diagram 1" descr="Stapeldiagram över antalet årsarbetskrafter och 2020 var antalet 4 652 och minskade jämfört med 2019. Både antalet kvinnor och män minskade, men könsfördelningen var dock oförändrad.  ">
          <a:extLst>
            <a:ext uri="{FF2B5EF4-FFF2-40B4-BE49-F238E27FC236}">
              <a16:creationId xmlns:a16="http://schemas.microsoft.com/office/drawing/2014/main" id="{F3C43360-985D-4E46-A0EA-1396866DB8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371475</xdr:colOff>
      <xdr:row>2</xdr:row>
      <xdr:rowOff>457200</xdr:rowOff>
    </xdr:from>
    <xdr:to>
      <xdr:col>5</xdr:col>
      <xdr:colOff>742950</xdr:colOff>
      <xdr:row>2</xdr:row>
      <xdr:rowOff>3200400</xdr:rowOff>
    </xdr:to>
    <xdr:graphicFrame macro="">
      <xdr:nvGraphicFramePr>
        <xdr:cNvPr id="3" name="Diagram 2" descr="Stapeldiagram som visar publik 2019 och 2020 uppdelat på egen- och samproduktion och gästspel. Total publik 2019 var ungefär 4,4 miljoner och 2020 drygt 1,2 miljoner. ">
          <a:extLst>
            <a:ext uri="{FF2B5EF4-FFF2-40B4-BE49-F238E27FC236}">
              <a16:creationId xmlns:a16="http://schemas.microsoft.com/office/drawing/2014/main" id="{19EE51F5-3E09-4B0A-8269-666A095561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2</xdr:row>
      <xdr:rowOff>76200</xdr:rowOff>
    </xdr:from>
    <xdr:to>
      <xdr:col>6</xdr:col>
      <xdr:colOff>571499</xdr:colOff>
      <xdr:row>2</xdr:row>
      <xdr:rowOff>2819400</xdr:rowOff>
    </xdr:to>
    <xdr:graphicFrame macro="">
      <xdr:nvGraphicFramePr>
        <xdr:cNvPr id="3" name="Diagram 2" descr="Cirkeldiagram över antal och andel barn av total publik. 346 364 barn och utgjorde 28 procent av den totala publiken 2020.">
          <a:extLst>
            <a:ext uri="{FF2B5EF4-FFF2-40B4-BE49-F238E27FC236}">
              <a16:creationId xmlns:a16="http://schemas.microsoft.com/office/drawing/2014/main" id="{4A33B89C-6AB7-42FE-A114-5E4BA8F4DC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200025</xdr:colOff>
      <xdr:row>2</xdr:row>
      <xdr:rowOff>133350</xdr:rowOff>
    </xdr:from>
    <xdr:to>
      <xdr:col>6</xdr:col>
      <xdr:colOff>19050</xdr:colOff>
      <xdr:row>2</xdr:row>
      <xdr:rowOff>2876550</xdr:rowOff>
    </xdr:to>
    <xdr:graphicFrame macro="">
      <xdr:nvGraphicFramePr>
        <xdr:cNvPr id="2" name="Diagram 1" descr="Stapeldiagram över föreställningar och konserter 2019 och 2020 uppdelat på egen- och samproduktion och gästspel. Totalt 13 757 föreställningar och konserter 2020 och 26 567 år 2019. ">
          <a:extLst>
            <a:ext uri="{FF2B5EF4-FFF2-40B4-BE49-F238E27FC236}">
              <a16:creationId xmlns:a16="http://schemas.microsoft.com/office/drawing/2014/main" id="{20B7C18D-8DE3-4F0A-BCC3-7ACD54E8A1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228599</xdr:colOff>
      <xdr:row>2</xdr:row>
      <xdr:rowOff>133350</xdr:rowOff>
    </xdr:from>
    <xdr:to>
      <xdr:col>7</xdr:col>
      <xdr:colOff>114299</xdr:colOff>
      <xdr:row>2</xdr:row>
      <xdr:rowOff>2876550</xdr:rowOff>
    </xdr:to>
    <xdr:graphicFrame macro="">
      <xdr:nvGraphicFramePr>
        <xdr:cNvPr id="2" name="Diagram 1" descr="Cirkeldiagram som visar att 6 209 föreställningar och konserter hade barn som målgrupp 2020 och utgjorde 45 procent av totalt antal föreställningar och konserter.  föreställningar och konserter med barn som målgrupp 2020. 6 209 föreställningar och konserter hade barn som målgrupp 2020 och utgjorde 45 procent av totalt antal ">
          <a:extLst>
            <a:ext uri="{FF2B5EF4-FFF2-40B4-BE49-F238E27FC236}">
              <a16:creationId xmlns:a16="http://schemas.microsoft.com/office/drawing/2014/main" id="{D3F53256-50DD-4C11-A88E-263123A2BE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333375</xdr:colOff>
      <xdr:row>2</xdr:row>
      <xdr:rowOff>447675</xdr:rowOff>
    </xdr:from>
    <xdr:to>
      <xdr:col>4</xdr:col>
      <xdr:colOff>47625</xdr:colOff>
      <xdr:row>2</xdr:row>
      <xdr:rowOff>3190875</xdr:rowOff>
    </xdr:to>
    <xdr:graphicFrame macro="">
      <xdr:nvGraphicFramePr>
        <xdr:cNvPr id="2" name="Diagram 1" descr="Cirkeldiagram över föreställningar och konserter per scenkonstområde 2020. Teater 40 procent, musik 42 procent, musikteater 5 procent , dans 10 procent, samtida cirkus 2 procent och övrig scenkonst 1 procent. ">
          <a:extLst>
            <a:ext uri="{FF2B5EF4-FFF2-40B4-BE49-F238E27FC236}">
              <a16:creationId xmlns:a16="http://schemas.microsoft.com/office/drawing/2014/main" id="{C96AEABD-B243-4028-91E7-768F5D0575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333374</xdr:colOff>
      <xdr:row>1</xdr:row>
      <xdr:rowOff>219075</xdr:rowOff>
    </xdr:from>
    <xdr:to>
      <xdr:col>9</xdr:col>
      <xdr:colOff>476249</xdr:colOff>
      <xdr:row>20</xdr:row>
      <xdr:rowOff>66675</xdr:rowOff>
    </xdr:to>
    <xdr:pic>
      <xdr:nvPicPr>
        <xdr:cNvPr id="4" name="Bildobjekt 3" descr="En bild som visar karta över totalt antal föreställningar och konserter per kommun. Totalt spelades föreställningar och konserter i 267 kommuner och flest i storstäderna Stockholm, Göteborg och Malmö. ">
          <a:extLst>
            <a:ext uri="{FF2B5EF4-FFF2-40B4-BE49-F238E27FC236}">
              <a16:creationId xmlns:a16="http://schemas.microsoft.com/office/drawing/2014/main" id="{0F8B022D-BF7D-4CDC-9F5C-21534A3F175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723" t="17285" r="23041" b="3316"/>
        <a:stretch/>
      </xdr:blipFill>
      <xdr:spPr>
        <a:xfrm>
          <a:off x="333374" y="381000"/>
          <a:ext cx="5972175" cy="7962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200025</xdr:colOff>
      <xdr:row>2</xdr:row>
      <xdr:rowOff>219075</xdr:rowOff>
    </xdr:from>
    <xdr:to>
      <xdr:col>3</xdr:col>
      <xdr:colOff>485775</xdr:colOff>
      <xdr:row>2</xdr:row>
      <xdr:rowOff>2962275</xdr:rowOff>
    </xdr:to>
    <xdr:graphicFrame macro="">
      <xdr:nvGraphicFramePr>
        <xdr:cNvPr id="2" name="Diagram 1" descr="Cirkeldiagram över antal och andel digitala produktioner per scenkonstområde. Musik 63 procent, teater 10 procent, musikteater 0 procent, dans 1 procent, samtida cirkus 1 procent, flera scenkonstområden 25 procent. ">
          <a:extLst>
            <a:ext uri="{FF2B5EF4-FFF2-40B4-BE49-F238E27FC236}">
              <a16:creationId xmlns:a16="http://schemas.microsoft.com/office/drawing/2014/main" id="{1111A4AD-2890-4AA3-8631-23C75BF084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257175</xdr:colOff>
      <xdr:row>2</xdr:row>
      <xdr:rowOff>276225</xdr:rowOff>
    </xdr:from>
    <xdr:to>
      <xdr:col>5</xdr:col>
      <xdr:colOff>236008</xdr:colOff>
      <xdr:row>2</xdr:row>
      <xdr:rowOff>2387600</xdr:rowOff>
    </xdr:to>
    <xdr:graphicFrame macro="">
      <xdr:nvGraphicFramePr>
        <xdr:cNvPr id="3" name="Diagram 2" descr="Stapeldiagram över intäkter och kostnader 2019 och 2020. 2020 var intäkter 5,3 miljarder och kostnader 5,2 miljarder, och minskar jämfört med 2019. ">
          <a:extLst>
            <a:ext uri="{FF2B5EF4-FFF2-40B4-BE49-F238E27FC236}">
              <a16:creationId xmlns:a16="http://schemas.microsoft.com/office/drawing/2014/main" id="{C4DE6096-96B5-4855-8CF9-082B6C86F0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7107E33-8D43-4436-A7FD-4E84853B75F1}" name="Tabell225" displayName="Tabell225" ref="A3:K77" totalsRowShown="0" headerRowDxfId="82" dataDxfId="81" headerRowCellStyle="Tabellrubrik">
  <autoFilter ref="A3:K77" xr:uid="{27107E33-8D43-4436-A7FD-4E84853B75F1}"/>
  <sortState xmlns:xlrd2="http://schemas.microsoft.com/office/spreadsheetml/2017/richdata2" ref="A4:K77">
    <sortCondition ref="B3:B77"/>
  </sortState>
  <tableColumns count="11">
    <tableColumn id="1" xr3:uid="{31ED442C-727D-4F34-A11C-A02142BFE01F}" name="Scenkonstverksamheter" dataDxfId="80"/>
    <tableColumn id="8" xr3:uid="{8AB6AFE0-B386-4B9E-AEFD-87E608655C6C}" name="Län" dataDxfId="79" dataCellStyle="Tabelltext"/>
    <tableColumn id="13" xr3:uid="{6FD3EF60-8872-4BFA-AD13-43CB49B1E6AF}" name="Scenkonst-områden" dataDxfId="78" dataCellStyle="Tabelltext"/>
    <tableColumn id="2" xr3:uid="{5582A5E1-1EBC-450A-86FE-ADD44E93764E}" name="Egen scen" dataDxfId="77"/>
    <tableColumn id="3" xr3:uid="{E24F8520-C9A2-411A-BD35-173394035CBA}" name="Föreställningar och konserter 2020 (egen- och samproduktion)" dataDxfId="76"/>
    <tableColumn id="10" xr3:uid="{F7F24982-E0C2-49D0-9166-3B87850DCD72}" name="Mottagna gästspel 2020" dataDxfId="75" dataCellStyle="Tabelltext"/>
    <tableColumn id="14" xr3:uid="{47F36B9F-F2D6-4C4A-BF40-DAB522F53B19}" name="Turné utanför eget län 2020 " dataDxfId="74" dataCellStyle="Tabelltext"/>
    <tableColumn id="15" xr3:uid="{716DA9FF-F9B4-47AA-87D7-C029C63C5174}" name="varav riktade till barn 2020  " dataDxfId="73" dataCellStyle="Tabelltext"/>
    <tableColumn id="4" xr3:uid="{D738CF98-0395-469D-8F96-D69E0F2D70E5}" name="Total publik 2020" dataDxfId="72"/>
    <tableColumn id="11" xr3:uid="{23206B20-F4E3-40BD-B8B5-A68346F974BD}" name="varav barn som publik 2020 " dataDxfId="71" dataCellStyle="Tabelltext"/>
    <tableColumn id="7" xr3:uid="{27685071-DD6E-4BFD-BB89-CF6F9B47213D}" name="Digitala produktioner 2020" dataDxfId="70" dataCellStyle="Tabelltext"/>
  </tableColumns>
  <tableStyleInfo name="Kulturanalys tabellforma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99C17A8-EE0C-48D1-BE99-533292D44C3F}" name="Tabell17" displayName="Tabell17" ref="A2:E25" totalsRowShown="0" headerRowDxfId="28" headerRowCellStyle="Tabellrubrik" dataCellStyle="Tabelltext">
  <autoFilter ref="A2:E25" xr:uid="{E99C17A8-EE0C-48D1-BE99-533292D44C3F}"/>
  <tableColumns count="5">
    <tableColumn id="1" xr3:uid="{82392487-42E2-4B0B-BF53-327A56F7EDFE}" name="Län" dataCellStyle="Tabelltext"/>
    <tableColumn id="3" xr3:uid="{875855C6-97C7-43F0-894C-C54B1835A363}" name="Egen- och samproduktion" dataDxfId="27" dataCellStyle="Tabelltext"/>
    <tableColumn id="4" xr3:uid="{0A7ADCB1-8AFD-4C8B-82D4-F517FB38F06E}" name="Gästspel" dataDxfId="26" dataCellStyle="Tabelltext"/>
    <tableColumn id="5" xr3:uid="{565B95B4-5E6F-4683-BE3F-F2B8B3B84F40}" name="Totalt antal föreställningar/konserter" dataDxfId="25" dataCellStyle="Tabelltext">
      <calculatedColumnFormula>SUM(Tabell17[[#This Row],[Egen- och samproduktion]:[Gästspel]])</calculatedColumnFormula>
    </tableColumn>
    <tableColumn id="7" xr3:uid="{874CA2CA-0F5F-4D28-9AFD-7877570396D1}" name="Antal per 1000 invånare" dataDxfId="24" dataCellStyle="Tabelltext"/>
  </tableColumns>
  <tableStyleInfo name="Kulturanalys tabellforma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1684E53-729D-4D21-8DC2-28E70F63F31F}" name="Tabell25" displayName="Tabell25" ref="F2:F25" totalsRowShown="0" headerRowDxfId="23" dataDxfId="22" headerRowCellStyle="Tabellrubrik">
  <autoFilter ref="F2:F25" xr:uid="{E1684E53-729D-4D21-8DC2-28E70F63F31F}"/>
  <tableColumns count="1">
    <tableColumn id="1" xr3:uid="{5A44A668-F3F5-4331-855E-C3A15AA8B775}" name="Antal invånare" dataDxfId="21" dataCellStyle="Tabelltext"/>
  </tableColumns>
  <tableStyleInfo name="Kulturanalys tabellforma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2389EC4-A0F5-4AC0-B587-6C596F7069FA}" name="Tabell23" displayName="Tabell23" ref="A6:C14" totalsRowShown="0" headerRowDxfId="20" headerRowBorderDxfId="19" tableBorderDxfId="18" headerRowCellStyle="Tabellrubrik">
  <autoFilter ref="A6:C14" xr:uid="{E2389EC4-A0F5-4AC0-B587-6C596F7069FA}"/>
  <tableColumns count="3">
    <tableColumn id="1" xr3:uid="{49CBFB01-3913-4231-AD41-150034E36D1A}" name="Scenkonstområden"/>
    <tableColumn id="2" xr3:uid="{7932A824-130E-43F7-9504-05BBBFD778C0}" name="Antal digitala produktioner" dataDxfId="17"/>
    <tableColumn id="3" xr3:uid="{74E1CDAF-BD91-443E-A21A-AD3B71829C45}" name="Andel digitala produktioner" dataDxfId="16">
      <calculatedColumnFormula>Tabell23[[#This Row],[Antal digitala produktioner]]/B8</calculatedColumnFormula>
    </tableColumn>
  </tableColumns>
  <tableStyleInfo name="Kulturanalys tabellforma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69FC647-4AA9-423E-A044-8ADB23D439D4}" name="Tabell15" displayName="Tabell15" ref="A2:C9" totalsRowShown="0" headerRowCellStyle="Tabellrubrik" dataCellStyle="Tabelltext">
  <autoFilter ref="A2:C9" xr:uid="{069FC647-4AA9-423E-A044-8ADB23D439D4}"/>
  <tableColumns count="3">
    <tableColumn id="1" xr3:uid="{C0AC9ED2-A4CE-4EFA-86D1-64C6ABAE0BF3}" name="Digital distribution" dataCellStyle="Tabelltext"/>
    <tableColumn id="2" xr3:uid="{01D691EA-158D-4583-B5DD-526622CB8CC7}" name="Scenkonstverksamheter 2019" dataDxfId="15" dataCellStyle="Tabelltext"/>
    <tableColumn id="3" xr3:uid="{5E679EDA-C8FD-47A1-A599-000D998110C7}" name="Scenkonstverksamheter 2020" dataDxfId="14" dataCellStyle="Tabelltext"/>
  </tableColumns>
  <tableStyleInfo name="Kulturanalys tabellforma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6E968D8-90F6-457A-BBA4-784AD4460D70}" name="Tabell2255271315" displayName="Tabell2255271315" ref="A2:C12" totalsRowShown="0" dataDxfId="13" headerRowCellStyle="Tabellrubrik">
  <autoFilter ref="A2:C12" xr:uid="{27107E33-8D43-4436-A7FD-4E84853B75F1}"/>
  <sortState xmlns:xlrd2="http://schemas.microsoft.com/office/spreadsheetml/2017/richdata2" ref="A3:B12">
    <sortCondition ref="A2:A12"/>
  </sortState>
  <tableColumns count="3">
    <tableColumn id="8" xr3:uid="{AE04653E-3761-4EC5-ADE2-03A6C8D94D94}" name="Övriga aktiviteter" dataCellStyle="Tabelltext"/>
    <tableColumn id="6" xr3:uid="{7F0A3A22-13FC-4619-97B8-FFA83873F16B}" name="Antal scenkonstinstitutioner" dataDxfId="12" dataCellStyle="Tabelltext"/>
    <tableColumn id="1" xr3:uid="{7E464A47-5977-4676-91A0-8F823823D31E}" name="Andel scenkonstinstitutioner" dataDxfId="11" dataCellStyle="Tabelltext">
      <calculatedColumnFormula>Tabell2255271315[[#This Row],[Antal scenkonstinstitutioner]]/74</calculatedColumnFormula>
    </tableColumn>
  </tableColumns>
  <tableStyleInfo name="Kulturanalys tabellforma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6BAB12E-7ED6-40FA-A206-3E22850873C0}" name="Tabell14" displayName="Tabell14" ref="A6:C8" totalsRowShown="0" dataDxfId="10" headerRowCellStyle="Tabellrubrik">
  <autoFilter ref="A6:C8" xr:uid="{A6BAB12E-7ED6-40FA-A206-3E22850873C0}"/>
  <tableColumns count="3">
    <tableColumn id="1" xr3:uid="{93C8698E-BD74-44B3-AB6F-9293F964BE56}" name="År" dataCellStyle="Tabelltext"/>
    <tableColumn id="2" xr3:uid="{0C5BF80D-5B73-4F5E-A2BC-81A54BCBF401}" name="Intäkter, miljoner kr" dataDxfId="9" dataCellStyle="Tabelltext"/>
    <tableColumn id="3" xr3:uid="{BE63242E-234D-4D76-9D84-0AD54EB48380}" name="Kostnader, miljoner kr" dataDxfId="8" dataCellStyle="Tabelltext"/>
  </tableColumns>
  <tableStyleInfo name="Kulturanalys tabellforma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0CE33A1-8A7B-4F6D-B39D-172F5A453906}" name="Tabell717" displayName="Tabell717" ref="A6:I12" totalsRowShown="0" headerRowCellStyle="Tabellrubrik" dataCellStyle="Procent">
  <autoFilter ref="A6:I12" xr:uid="{90CE33A1-8A7B-4F6D-B39D-172F5A453906}"/>
  <tableColumns count="9">
    <tableColumn id="1" xr3:uid="{0F9DF5A7-5A25-4F9B-A53B-0A12EF05E2DA}" name="Andelar 2020" dataCellStyle="Procent"/>
    <tableColumn id="2" xr3:uid="{E56EA581-26F8-4C21-938C-798A5940C015}" name="Kommunala bidrag" dataCellStyle="Procent"/>
    <tableColumn id="3" xr3:uid="{50610DD9-6706-41DE-A0EA-27F5ED11F9BA}" name="Regionala bidrag" dataCellStyle="Procent"/>
    <tableColumn id="4" xr3:uid="{3914305D-15E5-4217-9A32-BED1C27718D1}" name="Statliga bidrag" dataCellStyle="Procent"/>
    <tableColumn id="5" xr3:uid="{E85BF1F3-32DE-4EA3-B2B2-C49455F99F5E}" name="Övriga bidrag" dataCellStyle="Procent"/>
    <tableColumn id="6" xr3:uid="{0850AD30-615D-47DB-8FD6-BAF7B1342F16}" name="Verksamhetsintäkter" dataCellStyle="Procent"/>
    <tableColumn id="7" xr3:uid="{3F1328BE-D474-405B-BA4F-B88D0BBB9311}" name="Sponsring och donationer" dataCellStyle="Procent"/>
    <tableColumn id="8" xr3:uid="{DEC938AB-90F8-47A7-8715-3B71C857D009}" name="Övriga Intäkter" dataCellStyle="Procent"/>
    <tableColumn id="9" xr3:uid="{F81E0144-D395-453A-B771-B7D1BB663D6D}" name="Totalt" dataDxfId="7" dataCellStyle="Procent">
      <calculatedColumnFormula>SUM(Tabell717[[#This Row],[Kommunala bidrag]:[Övriga Intäkter]])</calculatedColumnFormula>
    </tableColumn>
  </tableColumns>
  <tableStyleInfo name="Kulturanalys tabellforma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8CEAB31-724D-45D4-BE51-DBE17CCFC11B}" name="Tabell103" displayName="Tabell103" ref="A6:F12" totalsRowShown="0" headerRowCellStyle="Tabellrubrik" dataCellStyle="Tabelltext">
  <autoFilter ref="A6:F12" xr:uid="{28CEAB31-724D-45D4-BE51-DBE17CCFC11B}"/>
  <tableColumns count="6">
    <tableColumn id="1" xr3:uid="{F9AF032C-7EE8-4120-AA71-E172EB49767E}" name="Andel 2020" dataCellStyle="Tabelltext"/>
    <tableColumn id="2" xr3:uid="{7E0E8B43-E5EF-48E2-8763-F68FD1DDC382}" name="Personalkostnader" dataCellStyle="Procent"/>
    <tableColumn id="3" xr3:uid="{ED9690EC-BEB9-4913-9F37-F83C1DB855AF}" name="Lokalkostnader" dataCellStyle="Procent"/>
    <tableColumn id="4" xr3:uid="{35299FC6-2AC0-463B-9798-40E3311C578D}" name="Andra verksamhetskostnader" dataCellStyle="Procent"/>
    <tableColumn id="5" xr3:uid="{F2D6AB4D-A546-4103-880D-05665319C270}" name="Finansiella kostnader och avskrivningar" dataDxfId="6" dataCellStyle="Procent"/>
    <tableColumn id="6" xr3:uid="{550CADFC-0093-43B2-A588-7F1143FA4298}" name="Totalt" dataDxfId="5" dataCellStyle="Procent">
      <calculatedColumnFormula>SUM(Tabell103[[#This Row],[Personalkostnader]:[Finansiella kostnader och avskrivningar]])</calculatedColumnFormula>
    </tableColumn>
  </tableColumns>
  <tableStyleInfo name="Kulturanalys tabellforma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DBBBDDC-BF6B-4A44-B44E-615F963434A9}" name="Tabell22" displayName="Tabell22" ref="A6:D8" totalsRowShown="0" dataDxfId="4" headerRowCellStyle="Tabellrubrik" dataCellStyle="Tabelltext">
  <autoFilter ref="A6:D8" xr:uid="{EDBBBDDC-BF6B-4A44-B44E-615F963434A9}"/>
  <tableColumns count="4">
    <tableColumn id="1" xr3:uid="{033901CF-0F8F-417C-963C-AD481FE1F487}" name="År" dataDxfId="3" dataCellStyle="Tabelltext"/>
    <tableColumn id="2" xr3:uid="{747CBC36-F206-483D-9422-DD4B4A8B19D6}" name="kvinnor" dataDxfId="2" dataCellStyle="Tabelltext"/>
    <tableColumn id="3" xr3:uid="{9D2007A5-3D1B-4718-87CE-63E4C4A4D31A}" name="män" dataDxfId="1" dataCellStyle="Tabelltext"/>
    <tableColumn id="5" xr3:uid="{BFEF5874-4712-4B7A-B7F0-D7E4F781A52F}" name="Totalt" dataDxfId="0" dataCellStyle="Tabelltext">
      <calculatedColumnFormula>Tabell22[[#This Row],[kvinnor]]+Tabell22[[#This Row],[män]]</calculatedColumnFormula>
    </tableColumn>
  </tableColumns>
  <tableStyleInfo name="Kulturanalys tabellforma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F6806CF-ADE4-4DD4-AC92-B0D7AB6193EA}" name="Tabell20" displayName="Tabell20" ref="A2:I8" totalsRowShown="0" headerRowCellStyle="Tabellrubrik" dataCellStyle="Tabelltext">
  <autoFilter ref="A2:I8" xr:uid="{F57A5213-83FA-4047-8D93-C67F500C20E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6760500-F985-463F-9F0F-95BDC92E7B42}" name="Huvudman" dataCellStyle="Tabelltext"/>
    <tableColumn id="2" xr3:uid="{173353B5-97F9-4280-A3DF-1B4E77A704F8}" name="Regional" dataDxfId="69" dataCellStyle="Tabelltext"/>
    <tableColumn id="3" xr3:uid="{401E24E1-70EB-4F8C-90F6-94D8DBAD1652}" name="Kommunal " dataDxfId="68" dataCellStyle="Tabelltext"/>
    <tableColumn id="4" xr3:uid="{E91075B2-D31E-4B56-AF6F-661B4FA91006}" name="Stiftelse" dataDxfId="67" dataCellStyle="Tabelltext"/>
    <tableColumn id="5" xr3:uid="{BA544D5D-64E5-4A6F-B9AE-264FD33CA7FF}" name="Ideell förening" dataDxfId="66" dataCellStyle="Tabelltext"/>
    <tableColumn id="6" xr3:uid="{085E461C-789F-40ED-9DB5-F226CDC6B4E4}" name="Ekonomisk förening" dataDxfId="65" dataCellStyle="Tabelltext"/>
    <tableColumn id="7" xr3:uid="{074401D2-2370-4B16-8A23-0BFB80C865C2}" name="Företag" dataDxfId="64" dataCellStyle="Tabelltext"/>
    <tableColumn id="8" xr3:uid="{306965DB-4A86-4B65-85C7-32370F4F2C97}" name="Annan" dataDxfId="63" dataCellStyle="Tabelltext"/>
    <tableColumn id="9" xr3:uid="{B7EA9E19-8827-442D-9015-A7BA5430E5B2}" name="Totalt" dataDxfId="62" dataCellStyle="Tabelltext"/>
  </tableColumns>
  <tableStyleInfo name="Kulturanalys tabellforma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ADCB25-B8D7-4980-94B7-B7C4DE5E1218}" name="Tabell2" displayName="Tabell2" ref="A2:C13" totalsRowShown="0" headerRowBorderDxfId="61" tableBorderDxfId="60" headerRowCellStyle="Tabellrubrik">
  <autoFilter ref="A2:C13" xr:uid="{5AADCB25-B8D7-4980-94B7-B7C4DE5E1218}"/>
  <tableColumns count="3">
    <tableColumn id="1" xr3:uid="{FBFFA539-7BDC-4254-A9C1-93DDB55DD7FE}" name="Scenkonstområden"/>
    <tableColumn id="2" xr3:uid="{62921CCE-F5C1-4A78-8BDC-FCBCFF7587FF}" name="Antal scenkonstverksamheter"/>
    <tableColumn id="3" xr3:uid="{5E9C728E-EAEC-44D8-9285-B94ADA859DB5}" name="Andel scenkonstverksamheter" dataDxfId="59">
      <calculatedColumnFormula>Tabell2[[#This Row],[Antal scenkonstverksamheter]]/B4</calculatedColumnFormula>
    </tableColumn>
  </tableColumns>
  <tableStyleInfo name="Kulturanalys tabellforma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DF26BCA-F644-4212-A03C-88FEFDF281F2}" name="Tabell24" displayName="Tabell24" ref="A3:G293" totalsRowShown="0" dataDxfId="57" headerRowBorderDxfId="58" headerRowCellStyle="Tabellrubrik" dataCellStyle="Normal 3">
  <autoFilter ref="A3:G293" xr:uid="{4DF26BCA-F644-4212-A03C-88FEFDF281F2}"/>
  <tableColumns count="7">
    <tableColumn id="1" xr3:uid="{F00A4ADB-7C5C-44E3-AD28-3E6F9461491A}" name="Kommun namn" dataDxfId="56" dataCellStyle="Normal 3"/>
    <tableColumn id="2" xr3:uid="{0523FE44-F8F0-4545-8BDB-55E03DFDD4E5}" name="Kommunkod" dataDxfId="55" dataCellStyle="Normal 3"/>
    <tableColumn id="3" xr3:uid="{E09F35F5-5A83-4D68-A9B3-ACC9BF6264E4}" name="Län namn" dataDxfId="54" dataCellStyle="Normal 3"/>
    <tableColumn id="4" xr3:uid="{E483C760-B6DA-46DE-829B-24B9FF918245}" name="Länskod" dataDxfId="53" dataCellStyle="Normal 3"/>
    <tableColumn id="5" xr3:uid="{990DD450-B10B-4695-94C4-968B946D5DEB}" name="Scenkonsverksamheter" dataDxfId="52" dataCellStyle="Normal 3"/>
    <tableColumn id="6" xr3:uid="{B2F36745-7E93-4249-A92D-CF8320DF1E4B}" name="Föreställningar/konserter 2020" dataDxfId="51" dataCellStyle="Normal 3"/>
    <tableColumn id="7" xr3:uid="{D9AAC679-66D2-4C45-82D4-D8BB597D1312}" name="Kommuner 2019" dataDxfId="50" dataCellStyle="Normal 3"/>
  </tableColumns>
  <tableStyleInfo name="Kulturanalys tabellforma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6B6AA71-1645-42EF-9B01-24F3B50C7765}" name="Tabell7" displayName="Tabell7" ref="A6:D8" totalsRowShown="0" headerRowDxfId="49" headerRowCellStyle="Tabellrubrik">
  <autoFilter ref="A6:D8" xr:uid="{46B6AA71-1645-42EF-9B01-24F3B50C7765}"/>
  <tableColumns count="4">
    <tableColumn id="1" xr3:uid="{0669D9E5-AC57-4AFA-9750-6984066F045F}" name="År"/>
    <tableColumn id="2" xr3:uid="{741AB738-9613-452A-8D2C-1E5F2CC8A538}" name="Egen- och samproduktion" dataDxfId="48" dataCellStyle="Tabelltext"/>
    <tableColumn id="3" xr3:uid="{2DED844A-0301-438A-95E8-14ED0D964357}" name="Gästspel" dataDxfId="47" dataCellStyle="Tabelltext"/>
    <tableColumn id="4" xr3:uid="{439D9A69-3629-42C5-A600-0C75B75F3D8F}" name="Totalt" dataDxfId="46" dataCellStyle="Tabelltext"/>
  </tableColumns>
  <tableStyleInfo name="Kulturanalys tabellforma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D2E2065-75BF-4543-92BB-43D9E16B44F3}" name="Tabell79" displayName="Tabell79" ref="A6:C8" totalsRowShown="0" headerRowDxfId="45" headerRowCellStyle="Tabellrubrik">
  <autoFilter ref="A6:C8" xr:uid="{2D2E2065-75BF-4543-92BB-43D9E16B44F3}"/>
  <tableColumns count="3">
    <tableColumn id="1" xr3:uid="{4AA1B187-F54C-4B70-AA13-C96BA9166D49}" name="Publik"/>
    <tableColumn id="2" xr3:uid="{AF773983-7078-4989-AF73-82A84A12AD46}" name="Antal" dataDxfId="44" dataCellStyle="Tabelltext"/>
    <tableColumn id="3" xr3:uid="{BC6E3C2E-4646-4209-BE06-F638FE822EBE}" name="Procent" dataDxfId="43" dataCellStyle="Tabelltext">
      <calculatedColumnFormula>Tabell79[[#This Row],[Antal]]/1216432</calculatedColumnFormula>
    </tableColumn>
  </tableColumns>
  <tableStyleInfo name="Kulturanalys tabellforma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D529354-2111-4F34-943A-5BF76FB42305}" name="Tabell710" displayName="Tabell710" ref="A6:D8" totalsRowShown="0" headerRowDxfId="42" headerRowCellStyle="Tabellrubrik">
  <autoFilter ref="A6:D8" xr:uid="{46B6AA71-1645-42EF-9B01-24F3B50C7765}"/>
  <tableColumns count="4">
    <tableColumn id="1" xr3:uid="{6DBBF127-1FF6-4DDE-A976-27F6AE499852}" name="År"/>
    <tableColumn id="2" xr3:uid="{9D90C39E-3F90-4602-AAEE-AD9534C2FDE2}" name="Egen- och samproduktion" dataDxfId="41" dataCellStyle="Tabelltext"/>
    <tableColumn id="3" xr3:uid="{CB1881D0-F400-4202-9F81-F34EA8666F10}" name="Gästspel" dataDxfId="40" dataCellStyle="Tabelltext"/>
    <tableColumn id="4" xr3:uid="{8F5A844B-4153-427B-981F-68B52FCC3792}" name="Totalt" dataDxfId="39" dataCellStyle="Tabelltext">
      <calculatedColumnFormula>SUM(Tabell710[[#This Row],[Egen- och samproduktion]:[Gästspel]])</calculatedColumnFormula>
    </tableColumn>
  </tableColumns>
  <tableStyleInfo name="Kulturanalys tabellforma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1F74362-8697-455C-9871-517E1243C565}" name="Tabell794" displayName="Tabell794" ref="A6:C8" totalsRowShown="0" headerRowDxfId="38" dataDxfId="37" headerRowCellStyle="Tabellrubrik" dataCellStyle="Tabelltext">
  <autoFilter ref="A6:C8" xr:uid="{2D2E2065-75BF-4543-92BB-43D9E16B44F3}"/>
  <tableColumns count="3">
    <tableColumn id="1" xr3:uid="{973B2585-BE24-4393-AAAC-FA007D18F402}" name="Publik" dataDxfId="36" dataCellStyle="Tabelltext"/>
    <tableColumn id="2" xr3:uid="{E57A41EB-4648-4292-A667-27BCE4EFF4DB}" name="Antal" dataDxfId="35" dataCellStyle="Tabelltext"/>
    <tableColumn id="3" xr3:uid="{45BD0CB5-3632-4361-B720-F7B8B05EA93C}" name="Procent" dataDxfId="34" dataCellStyle="Tabelltext">
      <calculatedColumnFormula>Tabell794[[#This Row],[Antal]]/B8</calculatedColumnFormula>
    </tableColumn>
  </tableColumns>
  <tableStyleInfo name="Kulturanalys tabellforma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4AC5680-0B25-4AB3-BA09-99B8A50D7007}" name="Tabell2311" displayName="Tabell2311" ref="A6:C13" totalsRowShown="0" headerRowDxfId="33" headerRowBorderDxfId="32" tableBorderDxfId="31" headerRowCellStyle="Tabellrubrik">
  <autoFilter ref="A6:C13" xr:uid="{E2389EC4-A0F5-4AC0-B587-6C596F7069FA}"/>
  <tableColumns count="3">
    <tableColumn id="1" xr3:uid="{0A59F1B7-9589-44E2-B0AB-FCD39FF8496D}" name="Scenkonstområden"/>
    <tableColumn id="2" xr3:uid="{AE945C7D-993F-486E-884A-E4C8AF36033D}" name="Antal " dataDxfId="30"/>
    <tableColumn id="3" xr3:uid="{5AE1B328-C87E-43A4-AEAB-8F2FF933709A}" name="Andel " dataDxfId="29">
      <calculatedColumnFormula>Tabell2311[[#This Row],[Antal ]]/B12</calculatedColumnFormula>
    </tableColumn>
  </tableColumns>
  <tableStyleInfo name="Kulturanalys tabellformat" showFirstColumn="0" showLastColumn="0" showRowStripes="1" showColumnStripes="0"/>
</table>
</file>

<file path=xl/theme/theme1.xml><?xml version="1.0" encoding="utf-8"?>
<a:theme xmlns:a="http://schemas.openxmlformats.org/drawingml/2006/main" name="Tema1">
  <a:themeElements>
    <a:clrScheme name="Kulturanalys">
      <a:dk1>
        <a:sysClr val="windowText" lastClr="000000"/>
      </a:dk1>
      <a:lt1>
        <a:srgbClr val="FFFFFF"/>
      </a:lt1>
      <a:dk2>
        <a:srgbClr val="231F20"/>
      </a:dk2>
      <a:lt2>
        <a:srgbClr val="EEECE1"/>
      </a:lt2>
      <a:accent1>
        <a:srgbClr val="00A49A"/>
      </a:accent1>
      <a:accent2>
        <a:srgbClr val="7EC314"/>
      </a:accent2>
      <a:accent3>
        <a:srgbClr val="60D2BC"/>
      </a:accent3>
      <a:accent4>
        <a:srgbClr val="706457"/>
      </a:accent4>
      <a:accent5>
        <a:srgbClr val="F68B1F"/>
      </a:accent5>
      <a:accent6>
        <a:srgbClr val="FFC20E"/>
      </a:accent6>
      <a:hlink>
        <a:srgbClr val="046B81"/>
      </a:hlink>
      <a:folHlink>
        <a:srgbClr val="800080"/>
      </a:folHlink>
    </a:clrScheme>
    <a:fontScheme name="Kulturanaly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ulturanalys.se/temaomraden/scenkonst/"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E414F-729C-499F-9873-197B246B64AE}">
  <dimension ref="A1:B45"/>
  <sheetViews>
    <sheetView showGridLines="0" tabSelected="1" workbookViewId="0">
      <selection activeCell="B61" sqref="B61"/>
    </sheetView>
  </sheetViews>
  <sheetFormatPr defaultRowHeight="12.45" x14ac:dyDescent="0.3"/>
  <cols>
    <col min="1" max="1" width="32.15234375" customWidth="1"/>
  </cols>
  <sheetData>
    <row r="1" spans="1:2" s="5" customFormat="1" x14ac:dyDescent="0.3"/>
    <row r="2" spans="1:2" s="5" customFormat="1" ht="24.9" x14ac:dyDescent="0.55000000000000004">
      <c r="A2" s="56" t="s">
        <v>864</v>
      </c>
    </row>
    <row r="3" spans="1:2" s="5" customFormat="1" x14ac:dyDescent="0.3"/>
    <row r="4" spans="1:2" s="5" customFormat="1" x14ac:dyDescent="0.3">
      <c r="A4" s="5" t="s">
        <v>903</v>
      </c>
    </row>
    <row r="5" spans="1:2" s="5" customFormat="1" x14ac:dyDescent="0.3">
      <c r="A5" s="55" t="s">
        <v>907</v>
      </c>
    </row>
    <row r="6" spans="1:2" s="5" customFormat="1" x14ac:dyDescent="0.3"/>
    <row r="7" spans="1:2" s="5" customFormat="1" x14ac:dyDescent="0.3">
      <c r="A7" s="58" t="s">
        <v>906</v>
      </c>
    </row>
    <row r="8" spans="1:2" s="5" customFormat="1" x14ac:dyDescent="0.3">
      <c r="A8" s="55" t="s">
        <v>902</v>
      </c>
      <c r="B8" s="5" t="str">
        <f>'Bilaga 1 Scenkonstverksamheter'!A1</f>
        <v>Bilaga 1. Scenkonstverksamheter 2020</v>
      </c>
    </row>
    <row r="9" spans="1:2" s="5" customFormat="1" x14ac:dyDescent="0.3"/>
    <row r="10" spans="1:2" s="5" customFormat="1" x14ac:dyDescent="0.3">
      <c r="A10" s="58" t="s">
        <v>865</v>
      </c>
    </row>
    <row r="11" spans="1:2" s="5" customFormat="1" x14ac:dyDescent="0.3">
      <c r="A11" s="59" t="s">
        <v>885</v>
      </c>
    </row>
    <row r="12" spans="1:2" s="5" customFormat="1" x14ac:dyDescent="0.3">
      <c r="A12" s="55" t="s">
        <v>867</v>
      </c>
      <c r="B12" s="57" t="str">
        <f>'T1 Organisation'!A1</f>
        <v>Tabell 1. Organisationsform och huvudman 2020, antal scenkonstverksamheter per kategori</v>
      </c>
    </row>
    <row r="13" spans="1:2" s="5" customFormat="1" x14ac:dyDescent="0.3">
      <c r="A13" s="55" t="s">
        <v>868</v>
      </c>
      <c r="B13" s="57" t="str">
        <f>'T2 Scenkonstområden'!A1</f>
        <v>Tabell 2. Scenkonstverksamheter per scenkonstområde 2020, antal och andel i procent</v>
      </c>
    </row>
    <row r="14" spans="1:2" s="5" customFormat="1" x14ac:dyDescent="0.3">
      <c r="A14" s="55" t="s">
        <v>869</v>
      </c>
      <c r="B14" s="57" t="str">
        <f>'F1 Scenkonst per kommun'!A1</f>
        <v>Figur 1: Geografisk spridning av scenkonstverksamheter med statliga och/eller regionala bidrag, antal per kommun</v>
      </c>
    </row>
    <row r="15" spans="1:2" s="5" customFormat="1" x14ac:dyDescent="0.3">
      <c r="A15" s="55" t="s">
        <v>870</v>
      </c>
      <c r="B15" s="57" t="str">
        <f>'UnderlagF1&amp;F7 per kommun'!A1</f>
        <v>Tabell med underliggande data till kartorna i figur 1 och figur 7, antal scenkonsverksamheter, föreställningar/konserter per kommun</v>
      </c>
    </row>
    <row r="16" spans="1:2" s="5" customFormat="1" x14ac:dyDescent="0.3">
      <c r="A16" s="55" t="s">
        <v>871</v>
      </c>
      <c r="B16" s="57" t="str">
        <f>'F2 Publik 2019 och 2020 '!A1</f>
        <v>Figur 2. Publik 2019 och 2020, totalt och uppdelat på egenproduktion samt gästspel</v>
      </c>
    </row>
    <row r="17" spans="1:2" s="5" customFormat="1" x14ac:dyDescent="0.3">
      <c r="A17" s="55" t="s">
        <v>872</v>
      </c>
      <c r="B17" s="57" t="str">
        <f>'F3 Publik 2020, varav barn'!A1</f>
        <v>Figur 3. Publik 2020, antal och andel barn och vuxna av total publik</v>
      </c>
    </row>
    <row r="18" spans="1:2" s="5" customFormat="1" x14ac:dyDescent="0.3">
      <c r="A18" s="55" t="s">
        <v>873</v>
      </c>
      <c r="B18" s="57" t="str">
        <f>'F4 Föreställningar 19 20'!A1</f>
        <v>Figur 4. Föreställningar och konserter 2019 och 2020, totalt och uppdelat på egenproduktion och gästspel</v>
      </c>
    </row>
    <row r="19" spans="1:2" s="5" customFormat="1" x14ac:dyDescent="0.3">
      <c r="A19" s="55" t="s">
        <v>874</v>
      </c>
      <c r="B19" s="57" t="str">
        <f>'F5 Varav barn 2020'!A1</f>
        <v>Figur 5. Föreställningar och konserter med barn som målgrupp 2020, antal och andel i procent</v>
      </c>
    </row>
    <row r="20" spans="1:2" s="5" customFormat="1" x14ac:dyDescent="0.3">
      <c r="A20" s="55" t="s">
        <v>875</v>
      </c>
      <c r="B20" s="57" t="str">
        <f>'F6 Scenkonstområden 2020'!A1</f>
        <v>Figur 6. Föreställningar och konserter per scenkonstområde, antal och andel i procent</v>
      </c>
    </row>
    <row r="21" spans="1:2" s="5" customFormat="1" x14ac:dyDescent="0.3">
      <c r="A21" s="67" t="s">
        <v>877</v>
      </c>
      <c r="B21" s="57" t="str">
        <f>'T3Föreställningar per län 2020'!A1</f>
        <v>Tabell 3. Föreställningar och konserter per län 2020, totalt och uppdelat på egenproduktion och gästspel samt antal per 1000 invånare</v>
      </c>
    </row>
    <row r="22" spans="1:2" s="5" customFormat="1" x14ac:dyDescent="0.3">
      <c r="A22" s="55" t="s">
        <v>876</v>
      </c>
      <c r="B22" s="57" t="str">
        <f>'F7 Föreställningar kommun 2020'!A1</f>
        <v>Figur 7. Föreställningar och konserter per kommun 2020 (egenproduktion och gästspel)</v>
      </c>
    </row>
    <row r="23" spans="1:2" s="5" customFormat="1" x14ac:dyDescent="0.3">
      <c r="A23" s="55" t="s">
        <v>878</v>
      </c>
      <c r="B23" s="63" t="s">
        <v>886</v>
      </c>
    </row>
    <row r="24" spans="1:2" s="5" customFormat="1" x14ac:dyDescent="0.3">
      <c r="A24" s="55" t="s">
        <v>879</v>
      </c>
      <c r="B24" s="57" t="str">
        <f>'T4 Digital distribution 19 20'!A1</f>
        <v>Tabell 4. Digital distribution 2019 och 2020, antal scenkonstverksamheter</v>
      </c>
    </row>
    <row r="25" spans="1:2" s="5" customFormat="1" x14ac:dyDescent="0.3">
      <c r="A25" s="55" t="s">
        <v>880</v>
      </c>
      <c r="B25" s="57" t="str">
        <f>'T5 Övriga aktiviteter 2020'!A1</f>
        <v>Tabell 5: Övriga aktiviteter  2020, antal och andel scenkonstinstitutioner</v>
      </c>
    </row>
    <row r="26" spans="1:2" s="5" customFormat="1" x14ac:dyDescent="0.3">
      <c r="A26" s="55" t="s">
        <v>881</v>
      </c>
      <c r="B26" s="57" t="str">
        <f>'F9 Ekonomi 2019 och 2020'!A1</f>
        <v>Figur 9. Totala intäkter och kostnader 2019 och 2020, miljoner kronor</v>
      </c>
    </row>
    <row r="27" spans="1:2" s="5" customFormat="1" x14ac:dyDescent="0.3">
      <c r="A27" s="55" t="s">
        <v>882</v>
      </c>
      <c r="B27" s="57" t="str">
        <f>'F10 Intäkter per intäktsslag'!A1</f>
        <v>Figur 10. Intäkter per intäktsslag 2020 per huvudman samt totalt för 2019 och 2020, procent av totala intäkter</v>
      </c>
    </row>
    <row r="28" spans="1:2" s="5" customFormat="1" x14ac:dyDescent="0.3">
      <c r="A28" s="55" t="s">
        <v>883</v>
      </c>
      <c r="B28" s="57" t="str">
        <f>'F11 Kostnader per kostnadsslag'!A1</f>
        <v>Figur 11. Kostnader per kostnadsslag 2020 per huvudman samt totalt för 2019 och 2020, procent av totala kostnader</v>
      </c>
    </row>
    <row r="29" spans="1:2" s="5" customFormat="1" x14ac:dyDescent="0.3">
      <c r="A29" s="55" t="s">
        <v>884</v>
      </c>
      <c r="B29" s="57" t="str">
        <f>'F12 Årsarbetskrafter 19 20'!A1</f>
        <v>Figur 11. Årsarbetskrafter 2019 och 2020 uppdelat på antal kvinnor och män</v>
      </c>
    </row>
    <row r="30" spans="1:2" s="5" customFormat="1" x14ac:dyDescent="0.3"/>
    <row r="31" spans="1:2" s="5" customFormat="1" x14ac:dyDescent="0.3"/>
    <row r="32" spans="1:2" s="5" customFormat="1" x14ac:dyDescent="0.3"/>
    <row r="33" s="5" customFormat="1" x14ac:dyDescent="0.3"/>
    <row r="34" s="5" customFormat="1" x14ac:dyDescent="0.3"/>
    <row r="35" s="5" customFormat="1" x14ac:dyDescent="0.3"/>
    <row r="36" s="5" customFormat="1" x14ac:dyDescent="0.3"/>
    <row r="37" s="5" customFormat="1" x14ac:dyDescent="0.3"/>
    <row r="38" s="5" customFormat="1" x14ac:dyDescent="0.3"/>
    <row r="39" s="5" customFormat="1" x14ac:dyDescent="0.3"/>
    <row r="40" s="5" customFormat="1" x14ac:dyDescent="0.3"/>
    <row r="41" s="5" customFormat="1" x14ac:dyDescent="0.3"/>
    <row r="42" s="5" customFormat="1" x14ac:dyDescent="0.3"/>
    <row r="43" s="5" customFormat="1" x14ac:dyDescent="0.3"/>
    <row r="44" s="5" customFormat="1" x14ac:dyDescent="0.3"/>
    <row r="45" s="5" customFormat="1" x14ac:dyDescent="0.3"/>
  </sheetData>
  <hyperlinks>
    <hyperlink ref="A5" r:id="rId1" xr:uid="{D0AA391A-736E-4104-89AE-B8185695319A}"/>
    <hyperlink ref="A12" location="'T1 organisation'!A1" display="Tabell 1" xr:uid="{B5B1557C-514A-4296-89DB-1361B72691C6}"/>
    <hyperlink ref="A13" location="'T2 scenkonstområden'!A1" display="Tabell 2" xr:uid="{5778AEC4-A7D5-4089-9FB6-634F8BE14B85}"/>
    <hyperlink ref="A14" location="'F1 scenkonst per kommun'!A1" display="Figur 1" xr:uid="{C3C62187-59FF-44BA-B810-FA51E5FD7752}"/>
    <hyperlink ref="A15" location="'underlagF1&amp;F7 per kommun'!A1" display="Figur 1 och 7" xr:uid="{5D862B05-C189-435C-977E-7225B3370252}"/>
    <hyperlink ref="A16" location="'F2 Publik 2019 och 2020 '!A1" display="Figur 2" xr:uid="{6833802B-9899-452F-968C-A9622BABF1AD}"/>
    <hyperlink ref="A17" location="'F3 Publik 2020, varav barn'!A1" display="Figur 3" xr:uid="{7AF3C675-FDD9-426E-A960-C77A99357840}"/>
    <hyperlink ref="A18" location="'F4 Föreställningar 19 20'!A1" display="Figur 4" xr:uid="{16632047-A87D-4453-A0F2-2A91172AEDEE}"/>
    <hyperlink ref="A19" location="'F5 barn 2020'!A1" display="Figur 5" xr:uid="{F77110E4-3E43-46D2-9EF9-2344E369173F}"/>
    <hyperlink ref="A20" location="'F6 föreställning 2020 sce '!A1" display="Figur 6" xr:uid="{C5E8B456-80D2-48A7-BEA4-3E1F899EC553}"/>
    <hyperlink ref="A21" location="'T3föreställningar per län'!A1" display="Tabell 3" xr:uid="{4924BEA4-9DCF-4B65-BACD-5E0D9E919314}"/>
    <hyperlink ref="A22" location="'F7 föreställningar kommun'!A1" display="Figur 7" xr:uid="{68ADD824-DBAD-4B6B-AA4D-C154D534E61C}"/>
    <hyperlink ref="A23" location="'F8 Digitala produktioner'!A1" display="Figur 8" xr:uid="{B33DBC7C-8696-47EC-8870-2094854395A8}"/>
    <hyperlink ref="A24" location="'T4 Digital distribution'!A1" display="Tabell 4" xr:uid="{11DBF05B-CCBC-4ED6-9417-F6BF1CE0FDD5}"/>
    <hyperlink ref="A25" location="'T5 övriga aktiviteter'!A1" display="Tabell 5" xr:uid="{81E86BBD-325F-4D71-8CF3-EF2BAA2D8E35}"/>
    <hyperlink ref="A26" location="'F9 ekonomi'!A1" display="Figur 9" xr:uid="{280CF8DB-6825-444B-B306-88CDA3006C60}"/>
    <hyperlink ref="A27" location="'F10 Intäkter per intäktsslag'!A1" display="Figur 10" xr:uid="{E61FB0C7-287C-43C0-A802-A090BDC9D701}"/>
    <hyperlink ref="A28" location="'F11 kostnader per kostnadsslag'!A1" display="Figur 11" xr:uid="{3581DB59-98D4-4FBD-9D38-28D4FBF0E3F2}"/>
    <hyperlink ref="A29" location="'F12 Årsarbetskrafter'!A1" display="Figur 12" xr:uid="{F383EA6E-2380-4354-A1DE-F4546ED04606}"/>
    <hyperlink ref="A8" location="'Bilaga 1 Scenkonstverksamheter'!A1" display="Bilaga 1" xr:uid="{6C98A2B4-4ADF-43F5-BD80-FA30BDDC1977}"/>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68D9C-0687-47E2-9666-D0AFEFEA052B}">
  <dimension ref="A1:D24"/>
  <sheetViews>
    <sheetView showGridLines="0" workbookViewId="0">
      <selection activeCell="AA39" sqref="AA39"/>
    </sheetView>
  </sheetViews>
  <sheetFormatPr defaultRowHeight="12.45" x14ac:dyDescent="0.3"/>
  <cols>
    <col min="3" max="3" width="11.69140625" bestFit="1" customWidth="1"/>
    <col min="9" max="9" width="11.53515625" bestFit="1" customWidth="1"/>
  </cols>
  <sheetData>
    <row r="1" spans="1:4" x14ac:dyDescent="0.3">
      <c r="A1" s="45" t="s">
        <v>893</v>
      </c>
    </row>
    <row r="2" spans="1:4" x14ac:dyDescent="0.3">
      <c r="A2" s="5" t="s">
        <v>855</v>
      </c>
    </row>
    <row r="3" spans="1:4" ht="241.5" customHeight="1" x14ac:dyDescent="0.3"/>
    <row r="4" spans="1:4" x14ac:dyDescent="0.3">
      <c r="A4" s="25" t="s">
        <v>185</v>
      </c>
    </row>
    <row r="6" spans="1:4" x14ac:dyDescent="0.3">
      <c r="A6" s="22" t="s">
        <v>180</v>
      </c>
      <c r="B6" s="22" t="s">
        <v>182</v>
      </c>
      <c r="C6" s="22" t="s">
        <v>183</v>
      </c>
    </row>
    <row r="7" spans="1:4" x14ac:dyDescent="0.3">
      <c r="A7" s="3" t="s">
        <v>857</v>
      </c>
      <c r="B7" s="41">
        <f>13757-6209</f>
        <v>7548</v>
      </c>
      <c r="C7" s="21">
        <f>Tabell794[[#This Row],[Antal]]/B9</f>
        <v>0.54866613360471028</v>
      </c>
      <c r="D7" s="3"/>
    </row>
    <row r="8" spans="1:4" x14ac:dyDescent="0.3">
      <c r="A8" s="3" t="s">
        <v>181</v>
      </c>
      <c r="B8" s="41">
        <v>6209</v>
      </c>
      <c r="C8" s="21">
        <v>0.45</v>
      </c>
      <c r="D8" s="3"/>
    </row>
    <row r="9" spans="1:4" x14ac:dyDescent="0.3">
      <c r="A9" s="3" t="s">
        <v>134</v>
      </c>
      <c r="B9" s="41">
        <f>B7+B8</f>
        <v>13757</v>
      </c>
      <c r="C9" s="3"/>
      <c r="D9" s="3"/>
    </row>
    <row r="10" spans="1:4" ht="46.5" customHeight="1" x14ac:dyDescent="0.3">
      <c r="A10" s="3" t="s">
        <v>904</v>
      </c>
      <c r="B10" s="41">
        <v>4227</v>
      </c>
      <c r="C10" s="3"/>
      <c r="D10" s="3"/>
    </row>
    <row r="11" spans="1:4" x14ac:dyDescent="0.3">
      <c r="A11" s="25" t="s">
        <v>859</v>
      </c>
    </row>
    <row r="13" spans="1:4" x14ac:dyDescent="0.3">
      <c r="A13" s="66" t="s">
        <v>866</v>
      </c>
    </row>
    <row r="24" spans="2:2" x14ac:dyDescent="0.3">
      <c r="B24" s="60"/>
    </row>
  </sheetData>
  <hyperlinks>
    <hyperlink ref="A13" location="Innehåll!A1" display="Till innehållsförteckning" xr:uid="{3AA5803C-9BE7-43BF-9A3E-009CC98863B4}"/>
  </hyperlinks>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F17C2-06C8-4C05-B55B-0DFD73D84779}">
  <dimension ref="A1:C23"/>
  <sheetViews>
    <sheetView showGridLines="0" workbookViewId="0">
      <selection activeCell="V25" sqref="V25"/>
    </sheetView>
  </sheetViews>
  <sheetFormatPr defaultRowHeight="12.45" x14ac:dyDescent="0.3"/>
  <cols>
    <col min="1" max="1" width="25.53515625" customWidth="1"/>
    <col min="2" max="2" width="21.84375" customWidth="1"/>
    <col min="3" max="3" width="16.84375" customWidth="1"/>
  </cols>
  <sheetData>
    <row r="1" spans="1:3" x14ac:dyDescent="0.3">
      <c r="A1" s="45" t="s">
        <v>894</v>
      </c>
    </row>
    <row r="2" spans="1:3" x14ac:dyDescent="0.3">
      <c r="A2" s="5" t="s">
        <v>855</v>
      </c>
    </row>
    <row r="3" spans="1:3" ht="342.75" customHeight="1" x14ac:dyDescent="0.3">
      <c r="A3" s="8"/>
    </row>
    <row r="4" spans="1:3" x14ac:dyDescent="0.3">
      <c r="A4" s="25" t="s">
        <v>189</v>
      </c>
    </row>
    <row r="6" spans="1:3" x14ac:dyDescent="0.3">
      <c r="A6" s="13" t="s">
        <v>73</v>
      </c>
      <c r="B6" s="13" t="s">
        <v>186</v>
      </c>
      <c r="C6" s="13" t="s">
        <v>187</v>
      </c>
    </row>
    <row r="7" spans="1:3" x14ac:dyDescent="0.3">
      <c r="A7" s="9" t="s">
        <v>75</v>
      </c>
      <c r="B7" s="26">
        <v>5543</v>
      </c>
      <c r="C7" s="14">
        <f>Tabell2311[[#This Row],[Antal ]]/B13</f>
        <v>0.42206654991243431</v>
      </c>
    </row>
    <row r="8" spans="1:3" x14ac:dyDescent="0.3">
      <c r="A8" s="11" t="s">
        <v>142</v>
      </c>
      <c r="B8" s="27">
        <v>686</v>
      </c>
      <c r="C8" s="15">
        <f>Tabell2311[[#This Row],[Antal ]]/B13</f>
        <v>5.2234828295134393E-2</v>
      </c>
    </row>
    <row r="9" spans="1:3" x14ac:dyDescent="0.3">
      <c r="A9" s="11" t="s">
        <v>77</v>
      </c>
      <c r="B9" s="27">
        <v>1292</v>
      </c>
      <c r="C9" s="15">
        <f>Tabell2311[[#This Row],[Antal ]]/B13</f>
        <v>9.8378131424655443E-2</v>
      </c>
    </row>
    <row r="10" spans="1:3" x14ac:dyDescent="0.3">
      <c r="A10" s="11" t="s">
        <v>132</v>
      </c>
      <c r="B10" s="27">
        <v>240</v>
      </c>
      <c r="C10" s="15">
        <f>Tabell2311[[#This Row],[Antal ]]/B13</f>
        <v>1.8274575496840022E-2</v>
      </c>
    </row>
    <row r="11" spans="1:3" x14ac:dyDescent="0.3">
      <c r="A11" s="11" t="s">
        <v>188</v>
      </c>
      <c r="B11" s="27">
        <v>135</v>
      </c>
      <c r="C11" s="15">
        <f>Tabell2311[[#This Row],[Antal ]]/B13</f>
        <v>1.0279448716972513E-2</v>
      </c>
    </row>
    <row r="12" spans="1:3" x14ac:dyDescent="0.3">
      <c r="A12" s="11" t="s">
        <v>76</v>
      </c>
      <c r="B12" s="27">
        <v>5237</v>
      </c>
      <c r="C12" s="15">
        <f>Tabell2311[[#This Row],[Antal ]]/B13</f>
        <v>0.39876646615396327</v>
      </c>
    </row>
    <row r="13" spans="1:3" x14ac:dyDescent="0.3">
      <c r="A13" s="16" t="s">
        <v>84</v>
      </c>
      <c r="B13" s="28">
        <f>SUM(B7:B12)</f>
        <v>13133</v>
      </c>
      <c r="C13" s="17">
        <f>Tabell2311[[#This Row],[Antal ]]/Tabell2311[[#This Row],[Antal ]]</f>
        <v>1</v>
      </c>
    </row>
    <row r="14" spans="1:3" ht="24.9" x14ac:dyDescent="0.3">
      <c r="A14" t="s">
        <v>856</v>
      </c>
      <c r="B14" s="49">
        <v>624</v>
      </c>
    </row>
    <row r="15" spans="1:3" ht="24.9" x14ac:dyDescent="0.3">
      <c r="A15" t="s">
        <v>178</v>
      </c>
      <c r="B15" s="49">
        <f>B13+B14</f>
        <v>13757</v>
      </c>
    </row>
    <row r="17" spans="1:2" x14ac:dyDescent="0.3">
      <c r="A17" s="66" t="s">
        <v>866</v>
      </c>
    </row>
    <row r="23" spans="1:2" x14ac:dyDescent="0.3">
      <c r="B23" s="60"/>
    </row>
  </sheetData>
  <hyperlinks>
    <hyperlink ref="A17" location="Innehåll!A1" display="Till innehållsförteckning" xr:uid="{830B3910-B490-46DD-89EA-29A8E3EBBCE3}"/>
  </hyperlinks>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19CA3-7ECD-4DAD-980E-0F6D5014E667}">
  <dimension ref="A1:F28"/>
  <sheetViews>
    <sheetView showGridLines="0" workbookViewId="0">
      <selection activeCell="C48" sqref="C48"/>
    </sheetView>
  </sheetViews>
  <sheetFormatPr defaultRowHeight="12.45" x14ac:dyDescent="0.3"/>
  <cols>
    <col min="1" max="1" width="19.15234375" customWidth="1"/>
    <col min="2" max="2" width="19.3046875" customWidth="1"/>
    <col min="3" max="3" width="11" customWidth="1"/>
    <col min="4" max="4" width="12.84375" customWidth="1"/>
    <col min="5" max="5" width="11.3828125" customWidth="1"/>
    <col min="6" max="6" width="14.3828125" customWidth="1"/>
  </cols>
  <sheetData>
    <row r="1" spans="1:6" x14ac:dyDescent="0.3">
      <c r="A1" s="45" t="s">
        <v>895</v>
      </c>
    </row>
    <row r="2" spans="1:6" ht="34.75" x14ac:dyDescent="0.3">
      <c r="A2" s="40" t="s">
        <v>67</v>
      </c>
      <c r="B2" s="40" t="s">
        <v>176</v>
      </c>
      <c r="C2" s="40" t="s">
        <v>153</v>
      </c>
      <c r="D2" s="40" t="s">
        <v>178</v>
      </c>
      <c r="E2" s="40" t="s">
        <v>177</v>
      </c>
      <c r="F2" s="40" t="s">
        <v>863</v>
      </c>
    </row>
    <row r="3" spans="1:6" x14ac:dyDescent="0.3">
      <c r="A3" s="2" t="s">
        <v>154</v>
      </c>
      <c r="B3" s="3">
        <v>142</v>
      </c>
      <c r="C3" s="3">
        <v>448</v>
      </c>
      <c r="D3" s="3">
        <f>SUM(Tabell17[[#This Row],[Egen- och samproduktion]:[Gästspel]])</f>
        <v>590</v>
      </c>
      <c r="E3" s="20">
        <v>3.7054017220697495</v>
      </c>
      <c r="F3" s="41">
        <v>159227</v>
      </c>
    </row>
    <row r="4" spans="1:6" x14ac:dyDescent="0.3">
      <c r="A4" s="2" t="s">
        <v>155</v>
      </c>
      <c r="B4" s="3">
        <v>143</v>
      </c>
      <c r="C4" s="3">
        <v>85</v>
      </c>
      <c r="D4" s="3">
        <f>SUM(Tabell17[[#This Row],[Egen- och samproduktion]:[Gästspel]])</f>
        <v>228</v>
      </c>
      <c r="E4" s="20">
        <v>0.79254451979797069</v>
      </c>
      <c r="F4" s="41">
        <v>287681</v>
      </c>
    </row>
    <row r="5" spans="1:6" x14ac:dyDescent="0.3">
      <c r="A5" s="2" t="s">
        <v>156</v>
      </c>
      <c r="B5" s="3">
        <v>290</v>
      </c>
      <c r="C5" s="3">
        <v>18</v>
      </c>
      <c r="D5" s="3">
        <f>SUM(Tabell17[[#This Row],[Egen- och samproduktion]:[Gästspel]])</f>
        <v>308</v>
      </c>
      <c r="E5" s="20">
        <v>5.1290591174021651</v>
      </c>
      <c r="F5" s="41">
        <v>60050</v>
      </c>
    </row>
    <row r="6" spans="1:6" x14ac:dyDescent="0.3">
      <c r="A6" s="2" t="s">
        <v>157</v>
      </c>
      <c r="B6" s="3">
        <v>181</v>
      </c>
      <c r="C6" s="3">
        <v>91</v>
      </c>
      <c r="D6" s="3">
        <f>SUM(Tabell17[[#This Row],[Egen- och samproduktion]:[Gästspel]])</f>
        <v>272</v>
      </c>
      <c r="E6" s="20">
        <v>0.94565606627936494</v>
      </c>
      <c r="F6" s="41">
        <v>287631</v>
      </c>
    </row>
    <row r="7" spans="1:6" x14ac:dyDescent="0.3">
      <c r="A7" s="2" t="s">
        <v>158</v>
      </c>
      <c r="B7" s="3">
        <v>175</v>
      </c>
      <c r="C7" s="3">
        <v>144</v>
      </c>
      <c r="D7" s="3">
        <f>SUM(Tabell17[[#This Row],[Egen- och samproduktion]:[Gästspel]])</f>
        <v>319</v>
      </c>
      <c r="E7" s="20">
        <v>0.94816311972417067</v>
      </c>
      <c r="F7" s="41">
        <v>336440</v>
      </c>
    </row>
    <row r="8" spans="1:6" x14ac:dyDescent="0.3">
      <c r="A8" s="2" t="s">
        <v>159</v>
      </c>
      <c r="B8" s="3">
        <v>215</v>
      </c>
      <c r="C8" s="3">
        <v>146</v>
      </c>
      <c r="D8" s="3">
        <f>SUM(Tabell17[[#This Row],[Egen- och samproduktion]:[Gästspel]])</f>
        <v>361</v>
      </c>
      <c r="E8" s="20">
        <v>2.7543795397668314</v>
      </c>
      <c r="F8" s="41">
        <v>131064</v>
      </c>
    </row>
    <row r="9" spans="1:6" x14ac:dyDescent="0.3">
      <c r="A9" s="2" t="s">
        <v>160</v>
      </c>
      <c r="B9" s="3">
        <v>343</v>
      </c>
      <c r="C9" s="3">
        <v>58</v>
      </c>
      <c r="D9" s="3">
        <f>SUM(Tabell17[[#This Row],[Egen- och samproduktion]:[Gästspel]])</f>
        <v>401</v>
      </c>
      <c r="E9" s="20">
        <v>1.0987716226472997</v>
      </c>
      <c r="F9" s="41">
        <v>364953</v>
      </c>
    </row>
    <row r="10" spans="1:6" x14ac:dyDescent="0.3">
      <c r="A10" s="2" t="s">
        <v>161</v>
      </c>
      <c r="B10" s="3">
        <v>162</v>
      </c>
      <c r="C10" s="3">
        <v>58</v>
      </c>
      <c r="D10" s="3">
        <f>SUM(Tabell17[[#This Row],[Egen- och samproduktion]:[Gästspel]])</f>
        <v>220</v>
      </c>
      <c r="E10" s="20">
        <v>0.89418899090772375</v>
      </c>
      <c r="F10" s="41">
        <v>246033</v>
      </c>
    </row>
    <row r="11" spans="1:6" x14ac:dyDescent="0.3">
      <c r="A11" s="2" t="s">
        <v>162</v>
      </c>
      <c r="B11" s="3">
        <v>294</v>
      </c>
      <c r="C11" s="3">
        <v>77</v>
      </c>
      <c r="D11" s="3">
        <f>SUM(Tabell17[[#This Row],[Egen- och samproduktion]:[Gästspel]])</f>
        <v>371</v>
      </c>
      <c r="E11" s="20">
        <v>1.8343906213689203</v>
      </c>
      <c r="F11" s="41">
        <v>202247</v>
      </c>
    </row>
    <row r="12" spans="1:6" x14ac:dyDescent="0.3">
      <c r="A12" s="2" t="s">
        <v>163</v>
      </c>
      <c r="B12" s="3">
        <v>295</v>
      </c>
      <c r="C12" s="3">
        <v>248</v>
      </c>
      <c r="D12" s="3">
        <f>SUM(Tabell17[[#This Row],[Egen- och samproduktion]:[Gästspel]])</f>
        <v>543</v>
      </c>
      <c r="E12" s="20">
        <v>2.1750537755008033</v>
      </c>
      <c r="F12" s="41">
        <v>249649</v>
      </c>
    </row>
    <row r="13" spans="1:6" x14ac:dyDescent="0.3">
      <c r="A13" s="2" t="s">
        <v>164</v>
      </c>
      <c r="B13" s="3">
        <v>1840</v>
      </c>
      <c r="C13" s="3">
        <v>254</v>
      </c>
      <c r="D13" s="3">
        <f>SUM(Tabell17[[#This Row],[Egen- och samproduktion]:[Gästspel]])</f>
        <v>2094</v>
      </c>
      <c r="E13" s="20">
        <v>1.5076570836123291</v>
      </c>
      <c r="F13" s="41">
        <v>1388910</v>
      </c>
    </row>
    <row r="14" spans="1:6" x14ac:dyDescent="0.3">
      <c r="A14" s="2" t="s">
        <v>165</v>
      </c>
      <c r="B14" s="3">
        <v>1858</v>
      </c>
      <c r="C14" s="3">
        <v>367</v>
      </c>
      <c r="D14" s="3">
        <f>SUM(Tabell17[[#This Row],[Egen- och samproduktion]:[Gästspel]])</f>
        <v>2225</v>
      </c>
      <c r="E14" s="20">
        <v>0.93024578138764247</v>
      </c>
      <c r="F14" s="41">
        <v>2391841</v>
      </c>
    </row>
    <row r="15" spans="1:6" x14ac:dyDescent="0.3">
      <c r="A15" s="2" t="s">
        <v>166</v>
      </c>
      <c r="B15" s="3">
        <v>95</v>
      </c>
      <c r="C15" s="3">
        <v>870</v>
      </c>
      <c r="D15" s="3">
        <f>SUM(Tabell17[[#This Row],[Egen- och samproduktion]:[Gästspel]])</f>
        <v>965</v>
      </c>
      <c r="E15" s="20">
        <v>3.223877405797634</v>
      </c>
      <c r="F15" s="41">
        <v>299329</v>
      </c>
    </row>
    <row r="16" spans="1:6" x14ac:dyDescent="0.3">
      <c r="A16" s="2" t="s">
        <v>167</v>
      </c>
      <c r="B16" s="3">
        <v>151</v>
      </c>
      <c r="C16" s="3">
        <v>12</v>
      </c>
      <c r="D16" s="3">
        <f>SUM(Tabell17[[#This Row],[Egen- och samproduktion]:[Gästspel]])</f>
        <v>163</v>
      </c>
      <c r="E16" s="20">
        <v>0.42002082066399365</v>
      </c>
      <c r="F16" s="41">
        <v>388076</v>
      </c>
    </row>
    <row r="17" spans="1:6" x14ac:dyDescent="0.3">
      <c r="A17" s="2" t="s">
        <v>168</v>
      </c>
      <c r="B17" s="3">
        <v>140</v>
      </c>
      <c r="C17" s="3">
        <v>61</v>
      </c>
      <c r="D17" s="3">
        <f>SUM(Tabell17[[#This Row],[Egen- och samproduktion]:[Gästspel]])</f>
        <v>201</v>
      </c>
      <c r="E17" s="20">
        <v>0.71048334075629371</v>
      </c>
      <c r="F17" s="41">
        <v>282906</v>
      </c>
    </row>
    <row r="18" spans="1:6" x14ac:dyDescent="0.3">
      <c r="A18" s="2" t="s">
        <v>169</v>
      </c>
      <c r="B18" s="3">
        <v>246</v>
      </c>
      <c r="C18" s="3">
        <v>317</v>
      </c>
      <c r="D18" s="3">
        <f>SUM(Tabell17[[#This Row],[Egen- och samproduktion]:[Gästspel]])</f>
        <v>563</v>
      </c>
      <c r="E18" s="20">
        <v>2.060610497035356</v>
      </c>
      <c r="F18" s="41">
        <v>273220</v>
      </c>
    </row>
    <row r="19" spans="1:6" x14ac:dyDescent="0.3">
      <c r="A19" s="2" t="s">
        <v>170</v>
      </c>
      <c r="B19" s="3">
        <v>425</v>
      </c>
      <c r="C19" s="3">
        <v>182</v>
      </c>
      <c r="D19" s="3">
        <f>SUM(Tabell17[[#This Row],[Egen- och samproduktion]:[Gästspel]])</f>
        <v>607</v>
      </c>
      <c r="E19" s="20">
        <v>2.4809636111712847</v>
      </c>
      <c r="F19" s="41">
        <v>244663</v>
      </c>
    </row>
    <row r="20" spans="1:6" x14ac:dyDescent="0.3">
      <c r="A20" s="2" t="s">
        <v>171</v>
      </c>
      <c r="B20" s="3">
        <v>534</v>
      </c>
      <c r="C20" s="3">
        <v>62</v>
      </c>
      <c r="D20" s="3">
        <f>SUM(Tabell17[[#This Row],[Egen- och samproduktion]:[Gästspel]])</f>
        <v>596</v>
      </c>
      <c r="E20" s="20">
        <v>2.1498549930021498</v>
      </c>
      <c r="F20" s="41">
        <v>277228</v>
      </c>
    </row>
    <row r="21" spans="1:6" x14ac:dyDescent="0.3">
      <c r="A21" s="2" t="s">
        <v>172</v>
      </c>
      <c r="B21" s="3">
        <v>1016</v>
      </c>
      <c r="C21" s="3">
        <v>175</v>
      </c>
      <c r="D21" s="3">
        <f>SUM(Tabell17[[#This Row],[Egen- och samproduktion]:[Gästspel]])</f>
        <v>1191</v>
      </c>
      <c r="E21" s="20">
        <v>0.68671497695958816</v>
      </c>
      <c r="F21" s="41">
        <v>1734344</v>
      </c>
    </row>
    <row r="22" spans="1:6" x14ac:dyDescent="0.3">
      <c r="A22" s="2" t="s">
        <v>173</v>
      </c>
      <c r="B22" s="61">
        <v>183</v>
      </c>
      <c r="C22" s="3">
        <v>20</v>
      </c>
      <c r="D22" s="3">
        <f>SUM(Tabell17[[#This Row],[Egen- och samproduktion]:[Gästspel]])</f>
        <v>203</v>
      </c>
      <c r="E22" s="20">
        <v>0.66401714014686886</v>
      </c>
      <c r="F22" s="41">
        <v>305715</v>
      </c>
    </row>
    <row r="23" spans="1:6" x14ac:dyDescent="0.3">
      <c r="A23" s="2" t="s">
        <v>174</v>
      </c>
      <c r="B23" s="3">
        <v>583</v>
      </c>
      <c r="C23" s="3">
        <v>55</v>
      </c>
      <c r="D23" s="3">
        <f>SUM(Tabell17[[#This Row],[Egen- och samproduktion]:[Gästspel]])</f>
        <v>638</v>
      </c>
      <c r="E23" s="20">
        <v>1.3653600869721536</v>
      </c>
      <c r="F23" s="41">
        <v>467276</v>
      </c>
    </row>
    <row r="24" spans="1:6" ht="21.75" customHeight="1" x14ac:dyDescent="0.3">
      <c r="A24" s="2" t="s">
        <v>175</v>
      </c>
      <c r="B24" s="3">
        <v>698</v>
      </c>
      <c r="C24" s="3"/>
      <c r="D24" s="3">
        <f>SUM(Tabell17[[#This Row],[Egen- och samproduktion]:[Gästspel]])</f>
        <v>698</v>
      </c>
      <c r="E24" s="20"/>
      <c r="F24" s="41"/>
    </row>
    <row r="25" spans="1:6" x14ac:dyDescent="0.3">
      <c r="A25" s="2" t="s">
        <v>134</v>
      </c>
      <c r="B25" s="3">
        <f>SUM(B3:B24)</f>
        <v>10009</v>
      </c>
      <c r="C25" s="3">
        <f>SUM(C3:C24)</f>
        <v>3748</v>
      </c>
      <c r="D25" s="3">
        <f>SUM(D3:D24)</f>
        <v>13757</v>
      </c>
      <c r="E25" s="20">
        <v>1.3255309085152425</v>
      </c>
      <c r="F25" s="41">
        <f>SUM(F3:F23)</f>
        <v>10378483</v>
      </c>
    </row>
    <row r="26" spans="1:6" x14ac:dyDescent="0.3">
      <c r="A26" s="54" t="s">
        <v>915</v>
      </c>
      <c r="B26" s="3"/>
      <c r="C26" s="3"/>
      <c r="D26" s="68"/>
      <c r="E26" s="20"/>
      <c r="F26" s="41"/>
    </row>
    <row r="28" spans="1:6" x14ac:dyDescent="0.3">
      <c r="A28" s="66" t="s">
        <v>866</v>
      </c>
    </row>
  </sheetData>
  <hyperlinks>
    <hyperlink ref="A28" location="Innehåll!A1" display="Till innehållsförteckning" xr:uid="{4F48AA09-2049-464A-BF76-25CBC8DBDD5B}"/>
  </hyperlinks>
  <pageMargins left="0.7" right="0.7" top="0.75" bottom="0.75" header="0.3" footer="0.3"/>
  <pageSetup paperSize="9" orientation="portrait" r:id="rId1"/>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76527-2AFD-4435-BD40-1E8889AFB8B0}">
  <dimension ref="A1:B35"/>
  <sheetViews>
    <sheetView showGridLines="0" workbookViewId="0">
      <selection activeCell="P2" sqref="P2"/>
    </sheetView>
  </sheetViews>
  <sheetFormatPr defaultRowHeight="12.45" x14ac:dyDescent="0.3"/>
  <sheetData>
    <row r="1" spans="1:1" x14ac:dyDescent="0.3">
      <c r="A1" s="45" t="s">
        <v>896</v>
      </c>
    </row>
    <row r="2" spans="1:1" ht="409.5" customHeight="1" x14ac:dyDescent="0.3"/>
    <row r="23" spans="2:2" x14ac:dyDescent="0.3">
      <c r="B23" s="60"/>
    </row>
    <row r="35" spans="1:1" x14ac:dyDescent="0.3">
      <c r="A35" s="66" t="s">
        <v>866</v>
      </c>
    </row>
  </sheetData>
  <hyperlinks>
    <hyperlink ref="A35" location="Innehåll!A1" display="Till innehållsförteckning" xr:uid="{EDF3E7A7-C8A2-42E6-9CA6-2A3C6C776509}"/>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E57CB-E64E-4423-ABFA-52FEE0793115}">
  <dimension ref="A1:C23"/>
  <sheetViews>
    <sheetView showGridLines="0" workbookViewId="0">
      <selection activeCell="M18" sqref="M18"/>
    </sheetView>
  </sheetViews>
  <sheetFormatPr defaultRowHeight="12.45" x14ac:dyDescent="0.3"/>
  <cols>
    <col min="1" max="1" width="25.53515625" customWidth="1"/>
    <col min="2" max="2" width="21.84375" customWidth="1"/>
    <col min="3" max="3" width="16.84375" customWidth="1"/>
  </cols>
  <sheetData>
    <row r="1" spans="1:3" x14ac:dyDescent="0.3">
      <c r="A1" s="45" t="s">
        <v>886</v>
      </c>
    </row>
    <row r="2" spans="1:3" x14ac:dyDescent="0.3">
      <c r="A2" s="5" t="s">
        <v>855</v>
      </c>
    </row>
    <row r="3" spans="1:3" ht="259.5" customHeight="1" x14ac:dyDescent="0.3"/>
    <row r="4" spans="1:3" x14ac:dyDescent="0.3">
      <c r="A4" s="25" t="s">
        <v>219</v>
      </c>
    </row>
    <row r="6" spans="1:3" x14ac:dyDescent="0.3">
      <c r="A6" s="13" t="s">
        <v>73</v>
      </c>
      <c r="B6" s="13" t="s">
        <v>139</v>
      </c>
      <c r="C6" s="13" t="s">
        <v>140</v>
      </c>
    </row>
    <row r="7" spans="1:3" x14ac:dyDescent="0.3">
      <c r="A7" s="9" t="s">
        <v>75</v>
      </c>
      <c r="B7" s="26">
        <v>844</v>
      </c>
      <c r="C7" s="14">
        <f>Tabell23[[#This Row],[Antal digitala produktioner]]/B14</f>
        <v>0.63458646616541359</v>
      </c>
    </row>
    <row r="8" spans="1:3" x14ac:dyDescent="0.3">
      <c r="A8" s="11" t="s">
        <v>76</v>
      </c>
      <c r="B8" s="27">
        <v>133</v>
      </c>
      <c r="C8" s="15">
        <f>Tabell23[[#This Row],[Antal digitala produktioner]]/B14</f>
        <v>0.1</v>
      </c>
    </row>
    <row r="9" spans="1:3" x14ac:dyDescent="0.3">
      <c r="A9" s="11" t="s">
        <v>142</v>
      </c>
      <c r="B9" s="27">
        <v>6</v>
      </c>
      <c r="C9" s="15">
        <f>Tabell23[[#This Row],[Antal digitala produktioner]]/B14</f>
        <v>4.5112781954887221E-3</v>
      </c>
    </row>
    <row r="10" spans="1:3" x14ac:dyDescent="0.3">
      <c r="A10" s="11" t="s">
        <v>77</v>
      </c>
      <c r="B10" s="27">
        <v>13</v>
      </c>
      <c r="C10" s="15">
        <f>Tabell23[[#This Row],[Antal digitala produktioner]]/B14</f>
        <v>9.7744360902255641E-3</v>
      </c>
    </row>
    <row r="11" spans="1:3" x14ac:dyDescent="0.3">
      <c r="A11" s="11" t="s">
        <v>132</v>
      </c>
      <c r="B11" s="27">
        <v>11</v>
      </c>
      <c r="C11" s="15">
        <f>Tabell23[[#This Row],[Antal digitala produktioner]]/B14</f>
        <v>8.2706766917293225E-3</v>
      </c>
    </row>
    <row r="12" spans="1:3" x14ac:dyDescent="0.3">
      <c r="A12" s="11" t="s">
        <v>141</v>
      </c>
      <c r="B12" s="27">
        <v>196</v>
      </c>
      <c r="C12" s="15">
        <f>Tabell23[[#This Row],[Antal digitala produktioner]]/B14</f>
        <v>0.14736842105263157</v>
      </c>
    </row>
    <row r="13" spans="1:3" x14ac:dyDescent="0.3">
      <c r="A13" s="11" t="s">
        <v>133</v>
      </c>
      <c r="B13" s="27">
        <v>127</v>
      </c>
      <c r="C13" s="15">
        <f>Tabell23[[#This Row],[Antal digitala produktioner]]/B14</f>
        <v>9.5488721804511276E-2</v>
      </c>
    </row>
    <row r="14" spans="1:3" x14ac:dyDescent="0.3">
      <c r="A14" s="50" t="s">
        <v>134</v>
      </c>
      <c r="B14" s="28">
        <v>1330</v>
      </c>
      <c r="C14" s="17">
        <f>Tabell23[[#This Row],[Antal digitala produktioner]]/Tabell23[[#This Row],[Antal digitala produktioner]]</f>
        <v>1</v>
      </c>
    </row>
    <row r="16" spans="1:3" x14ac:dyDescent="0.3">
      <c r="A16" s="66" t="s">
        <v>866</v>
      </c>
    </row>
    <row r="23" spans="2:2" x14ac:dyDescent="0.3">
      <c r="B23" s="60"/>
    </row>
  </sheetData>
  <hyperlinks>
    <hyperlink ref="A16" location="Innehåll!A1" display="Till innehållsförteckning" xr:uid="{4B5EDD0A-E804-45FB-B6A3-2177BF7B6FBC}"/>
  </hyperlinks>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EFE0F-4956-4F07-9ECA-D5DA8D23CAF9}">
  <dimension ref="A1:C22"/>
  <sheetViews>
    <sheetView showGridLines="0" workbookViewId="0">
      <selection activeCell="A12" sqref="A12"/>
    </sheetView>
  </sheetViews>
  <sheetFormatPr defaultRowHeight="12.45" x14ac:dyDescent="0.3"/>
  <cols>
    <col min="1" max="1" width="20.84375" customWidth="1"/>
    <col min="2" max="2" width="26.84375" customWidth="1"/>
    <col min="3" max="3" width="26" customWidth="1"/>
  </cols>
  <sheetData>
    <row r="1" spans="1:3" x14ac:dyDescent="0.3">
      <c r="A1" s="45" t="s">
        <v>897</v>
      </c>
    </row>
    <row r="2" spans="1:3" x14ac:dyDescent="0.3">
      <c r="A2" s="1" t="s">
        <v>143</v>
      </c>
      <c r="B2" s="1" t="s">
        <v>151</v>
      </c>
      <c r="C2" s="1" t="s">
        <v>152</v>
      </c>
    </row>
    <row r="3" spans="1:3" x14ac:dyDescent="0.3">
      <c r="A3" s="18" t="s">
        <v>144</v>
      </c>
      <c r="B3" s="19">
        <v>11</v>
      </c>
      <c r="C3" s="19">
        <v>38</v>
      </c>
    </row>
    <row r="4" spans="1:3" ht="41.15" x14ac:dyDescent="0.3">
      <c r="A4" s="18" t="s">
        <v>145</v>
      </c>
      <c r="B4" s="19">
        <v>4</v>
      </c>
      <c r="C4" s="19">
        <v>10</v>
      </c>
    </row>
    <row r="5" spans="1:3" ht="41.15" x14ac:dyDescent="0.3">
      <c r="A5" s="18" t="s">
        <v>146</v>
      </c>
      <c r="B5" s="19">
        <v>14</v>
      </c>
      <c r="C5" s="19">
        <v>55</v>
      </c>
    </row>
    <row r="6" spans="1:3" ht="51.45" x14ac:dyDescent="0.3">
      <c r="A6" s="18" t="s">
        <v>147</v>
      </c>
      <c r="B6" s="19">
        <v>5</v>
      </c>
      <c r="C6" s="19">
        <v>19</v>
      </c>
    </row>
    <row r="7" spans="1:3" x14ac:dyDescent="0.3">
      <c r="A7" s="18" t="s">
        <v>148</v>
      </c>
      <c r="B7" s="19">
        <v>15</v>
      </c>
      <c r="C7" s="19">
        <v>16</v>
      </c>
    </row>
    <row r="8" spans="1:3" x14ac:dyDescent="0.3">
      <c r="A8" s="18" t="s">
        <v>149</v>
      </c>
      <c r="B8" s="19">
        <v>7</v>
      </c>
      <c r="C8" s="19">
        <v>7</v>
      </c>
    </row>
    <row r="9" spans="1:3" x14ac:dyDescent="0.3">
      <c r="A9" s="18" t="s">
        <v>150</v>
      </c>
      <c r="B9" s="19">
        <v>10</v>
      </c>
      <c r="C9" s="19">
        <v>16</v>
      </c>
    </row>
    <row r="10" spans="1:3" x14ac:dyDescent="0.3">
      <c r="A10" s="25" t="s">
        <v>220</v>
      </c>
    </row>
    <row r="12" spans="1:3" x14ac:dyDescent="0.3">
      <c r="A12" s="66" t="s">
        <v>866</v>
      </c>
    </row>
    <row r="22" spans="2:2" x14ac:dyDescent="0.3">
      <c r="B22" s="60"/>
    </row>
  </sheetData>
  <hyperlinks>
    <hyperlink ref="A12" location="Innehåll!A1" display="Till innehållsförteckning" xr:uid="{47606F16-E1A6-4EFE-B39E-4C99205F7120}"/>
  </hyperlink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5D092-ECDB-4AA4-8E61-391E3AFF7E0D}">
  <dimension ref="A1:AE52"/>
  <sheetViews>
    <sheetView showGridLines="0" zoomScale="110" zoomScaleNormal="110" workbookViewId="0">
      <selection activeCell="D26" sqref="D26"/>
    </sheetView>
  </sheetViews>
  <sheetFormatPr defaultRowHeight="12.45" x14ac:dyDescent="0.3"/>
  <cols>
    <col min="1" max="1" width="26.3828125" customWidth="1"/>
    <col min="2" max="2" width="13.3046875" customWidth="1"/>
    <col min="3" max="4" width="12.84375" customWidth="1"/>
  </cols>
  <sheetData>
    <row r="1" spans="1:31" x14ac:dyDescent="0.3">
      <c r="A1" s="45" t="s">
        <v>202</v>
      </c>
    </row>
    <row r="2" spans="1:31" x14ac:dyDescent="0.3">
      <c r="A2" s="1" t="s">
        <v>190</v>
      </c>
      <c r="B2" s="1" t="s">
        <v>191</v>
      </c>
      <c r="C2" s="1" t="s">
        <v>192</v>
      </c>
      <c r="D2" s="1"/>
    </row>
    <row r="3" spans="1:31" ht="20.6" x14ac:dyDescent="0.3">
      <c r="A3" s="18" t="s">
        <v>193</v>
      </c>
      <c r="B3" s="41">
        <f>37+12</f>
        <v>49</v>
      </c>
      <c r="C3" s="21">
        <f>Tabell2255271315[[#This Row],[Antal scenkonstinstitutioner]]/74</f>
        <v>0.66216216216216217</v>
      </c>
      <c r="D3" s="29"/>
      <c r="AE3">
        <v>0</v>
      </c>
    </row>
    <row r="4" spans="1:31" x14ac:dyDescent="0.3">
      <c r="A4" s="18" t="s">
        <v>194</v>
      </c>
      <c r="B4" s="41">
        <f>31+6</f>
        <v>37</v>
      </c>
      <c r="C4" s="21">
        <f>Tabell2255271315[[#This Row],[Antal scenkonstinstitutioner]]/74</f>
        <v>0.5</v>
      </c>
      <c r="D4" s="29"/>
    </row>
    <row r="5" spans="1:31" ht="20.6" x14ac:dyDescent="0.3">
      <c r="A5" s="18" t="s">
        <v>195</v>
      </c>
      <c r="B5" s="41">
        <f>32+6</f>
        <v>38</v>
      </c>
      <c r="C5" s="21">
        <f>Tabell2255271315[[#This Row],[Antal scenkonstinstitutioner]]/74</f>
        <v>0.51351351351351349</v>
      </c>
      <c r="D5" s="29"/>
    </row>
    <row r="6" spans="1:31" ht="30.9" x14ac:dyDescent="0.3">
      <c r="A6" s="18" t="s">
        <v>196</v>
      </c>
      <c r="B6" s="41">
        <f>30+6</f>
        <v>36</v>
      </c>
      <c r="C6" s="21">
        <f>Tabell2255271315[[#This Row],[Antal scenkonstinstitutioner]]/74</f>
        <v>0.48648648648648651</v>
      </c>
      <c r="D6" s="29"/>
    </row>
    <row r="7" spans="1:31" ht="20.6" x14ac:dyDescent="0.3">
      <c r="A7" s="18" t="s">
        <v>197</v>
      </c>
      <c r="B7" s="41">
        <f>25+3</f>
        <v>28</v>
      </c>
      <c r="C7" s="21">
        <f>Tabell2255271315[[#This Row],[Antal scenkonstinstitutioner]]/74</f>
        <v>0.3783783783783784</v>
      </c>
      <c r="D7" s="29"/>
    </row>
    <row r="8" spans="1:31" ht="20.6" x14ac:dyDescent="0.3">
      <c r="A8" s="18" t="s">
        <v>198</v>
      </c>
      <c r="B8" s="41">
        <f>37+6</f>
        <v>43</v>
      </c>
      <c r="C8" s="21">
        <f>Tabell2255271315[[#This Row],[Antal scenkonstinstitutioner]]/74</f>
        <v>0.58108108108108103</v>
      </c>
      <c r="D8" s="29"/>
    </row>
    <row r="9" spans="1:31" ht="30.9" x14ac:dyDescent="0.3">
      <c r="A9" s="18" t="s">
        <v>199</v>
      </c>
      <c r="B9" s="41">
        <f>32+6</f>
        <v>38</v>
      </c>
      <c r="C9" s="21">
        <f>Tabell2255271315[[#This Row],[Antal scenkonstinstitutioner]]/74</f>
        <v>0.51351351351351349</v>
      </c>
      <c r="D9" s="29"/>
    </row>
    <row r="10" spans="1:31" ht="27" customHeight="1" x14ac:dyDescent="0.3">
      <c r="A10" s="18" t="s">
        <v>200</v>
      </c>
      <c r="B10" s="41">
        <f>32+12</f>
        <v>44</v>
      </c>
      <c r="C10" s="21">
        <f>Tabell2255271315[[#This Row],[Antal scenkonstinstitutioner]]/74</f>
        <v>0.59459459459459463</v>
      </c>
      <c r="D10" s="29"/>
    </row>
    <row r="11" spans="1:31" ht="21.75" customHeight="1" x14ac:dyDescent="0.3">
      <c r="A11" s="18" t="s">
        <v>201</v>
      </c>
      <c r="B11" s="41">
        <f>10+4</f>
        <v>14</v>
      </c>
      <c r="C11" s="21">
        <f>Tabell2255271315[[#This Row],[Antal scenkonstinstitutioner]]/74</f>
        <v>0.1891891891891892</v>
      </c>
      <c r="D11" s="29"/>
    </row>
    <row r="12" spans="1:31" x14ac:dyDescent="0.3">
      <c r="A12" s="31" t="s">
        <v>150</v>
      </c>
      <c r="B12" s="41">
        <f>15+2</f>
        <v>17</v>
      </c>
      <c r="C12" s="21">
        <f>Tabell2255271315[[#This Row],[Antal scenkonstinstitutioner]]/74</f>
        <v>0.22972972972972974</v>
      </c>
      <c r="D12" s="29"/>
    </row>
    <row r="13" spans="1:31" x14ac:dyDescent="0.3">
      <c r="A13" s="25" t="s">
        <v>221</v>
      </c>
    </row>
    <row r="14" spans="1:31" x14ac:dyDescent="0.3">
      <c r="A14" s="65"/>
    </row>
    <row r="15" spans="1:31" x14ac:dyDescent="0.3">
      <c r="A15" s="66" t="s">
        <v>866</v>
      </c>
    </row>
    <row r="22" spans="2:2" x14ac:dyDescent="0.3">
      <c r="B22" s="60"/>
    </row>
    <row r="26" spans="2:2" x14ac:dyDescent="0.3">
      <c r="B26" s="5"/>
    </row>
    <row r="27" spans="2:2" x14ac:dyDescent="0.3">
      <c r="B27" s="5"/>
    </row>
    <row r="51" spans="2:2" x14ac:dyDescent="0.3">
      <c r="B51" s="5"/>
    </row>
    <row r="52" spans="2:2" x14ac:dyDescent="0.3">
      <c r="B52" s="5"/>
    </row>
  </sheetData>
  <hyperlinks>
    <hyperlink ref="A15" location="Innehåll!A1" display="Till innehållsförteckning" xr:uid="{24A35D04-98DF-4265-A30A-9C7E56E9231B}"/>
  </hyperlinks>
  <pageMargins left="0.7" right="0.7" top="0.75" bottom="0.75" header="0.3" footer="0.3"/>
  <pageSetup paperSize="9" orientation="landscape"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C06A5-487B-4B8B-B544-3920081B6484}">
  <dimension ref="A1:H23"/>
  <sheetViews>
    <sheetView showGridLines="0" zoomScaleNormal="100" workbookViewId="0">
      <selection activeCell="AC42" sqref="AC42"/>
    </sheetView>
  </sheetViews>
  <sheetFormatPr defaultRowHeight="12.45" x14ac:dyDescent="0.3"/>
  <cols>
    <col min="1" max="1" width="10.3828125" customWidth="1"/>
    <col min="2" max="2" width="19" customWidth="1"/>
    <col min="3" max="3" width="21.3046875" customWidth="1"/>
    <col min="5" max="5" width="12.84375" bestFit="1" customWidth="1"/>
  </cols>
  <sheetData>
    <row r="1" spans="1:8" x14ac:dyDescent="0.3">
      <c r="A1" s="45" t="s">
        <v>898</v>
      </c>
    </row>
    <row r="2" spans="1:8" x14ac:dyDescent="0.3">
      <c r="A2" s="5" t="s">
        <v>855</v>
      </c>
    </row>
    <row r="3" spans="1:8" ht="208.5" customHeight="1" x14ac:dyDescent="0.3"/>
    <row r="4" spans="1:8" x14ac:dyDescent="0.3">
      <c r="A4" s="25" t="s">
        <v>224</v>
      </c>
    </row>
    <row r="6" spans="1:8" x14ac:dyDescent="0.3">
      <c r="A6" s="1" t="s">
        <v>179</v>
      </c>
      <c r="B6" s="1" t="s">
        <v>222</v>
      </c>
      <c r="C6" s="1" t="s">
        <v>223</v>
      </c>
    </row>
    <row r="7" spans="1:8" x14ac:dyDescent="0.3">
      <c r="A7" s="2">
        <v>2020</v>
      </c>
      <c r="B7" s="51">
        <v>5329.5216929999997</v>
      </c>
      <c r="C7" s="51">
        <v>5213.2132620000002</v>
      </c>
    </row>
    <row r="8" spans="1:8" x14ac:dyDescent="0.3">
      <c r="A8" s="2">
        <v>2019</v>
      </c>
      <c r="B8" s="51">
        <v>5738.4043650000003</v>
      </c>
      <c r="C8" s="51">
        <v>5722.0573100000001</v>
      </c>
    </row>
    <row r="10" spans="1:8" x14ac:dyDescent="0.3">
      <c r="A10" s="66" t="s">
        <v>866</v>
      </c>
    </row>
    <row r="11" spans="1:8" x14ac:dyDescent="0.3">
      <c r="A11" s="5"/>
      <c r="B11" s="5"/>
    </row>
    <row r="12" spans="1:8" x14ac:dyDescent="0.3">
      <c r="A12" s="5"/>
      <c r="B12" s="5"/>
    </row>
    <row r="14" spans="1:8" x14ac:dyDescent="0.3">
      <c r="A14" s="5"/>
      <c r="B14" s="5"/>
    </row>
    <row r="15" spans="1:8" x14ac:dyDescent="0.3">
      <c r="A15" s="5"/>
      <c r="B15" s="5"/>
      <c r="C15" s="5"/>
      <c r="D15" s="5"/>
      <c r="E15" s="5"/>
      <c r="F15" s="5"/>
      <c r="G15" s="5"/>
      <c r="H15" s="5"/>
    </row>
    <row r="16" spans="1:8" x14ac:dyDescent="0.3">
      <c r="A16" s="5"/>
      <c r="B16" s="5"/>
      <c r="C16" s="5"/>
      <c r="D16" s="5"/>
      <c r="E16" s="5"/>
      <c r="F16" s="5"/>
      <c r="G16" s="5"/>
      <c r="H16" s="5"/>
    </row>
    <row r="17" spans="1:8" x14ac:dyDescent="0.3">
      <c r="A17" s="5"/>
      <c r="B17" s="5"/>
      <c r="C17" s="5"/>
      <c r="D17" s="5"/>
      <c r="E17" s="5"/>
      <c r="F17" s="5"/>
      <c r="G17" s="5"/>
      <c r="H17" s="5"/>
    </row>
    <row r="23" spans="1:8" x14ac:dyDescent="0.3">
      <c r="B23" s="60"/>
    </row>
  </sheetData>
  <hyperlinks>
    <hyperlink ref="A10" location="Innehåll!A1" display="Till innehållsförteckning" xr:uid="{38A312BA-0EE0-40F2-A974-98354C4FDB01}"/>
  </hyperlinks>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8F416-977F-4E70-96AF-EA1C66704B8B}">
  <dimension ref="A1:I23"/>
  <sheetViews>
    <sheetView showGridLines="0" workbookViewId="0">
      <selection activeCell="V3" sqref="V3"/>
    </sheetView>
  </sheetViews>
  <sheetFormatPr defaultRowHeight="12.45" x14ac:dyDescent="0.3"/>
  <sheetData>
    <row r="1" spans="1:9" x14ac:dyDescent="0.3">
      <c r="A1" s="45" t="s">
        <v>899</v>
      </c>
    </row>
    <row r="2" spans="1:9" x14ac:dyDescent="0.3">
      <c r="A2" s="5" t="s">
        <v>855</v>
      </c>
    </row>
    <row r="3" spans="1:9" ht="309.75" customHeight="1" x14ac:dyDescent="0.3"/>
    <row r="4" spans="1:9" x14ac:dyDescent="0.3">
      <c r="A4" s="25" t="s">
        <v>244</v>
      </c>
      <c r="D4" s="30"/>
    </row>
    <row r="6" spans="1:9" x14ac:dyDescent="0.3">
      <c r="A6" s="1" t="s">
        <v>225</v>
      </c>
      <c r="B6" s="1" t="s">
        <v>226</v>
      </c>
      <c r="C6" s="1" t="s">
        <v>227</v>
      </c>
      <c r="D6" s="1" t="s">
        <v>228</v>
      </c>
      <c r="E6" s="1" t="s">
        <v>229</v>
      </c>
      <c r="F6" s="1" t="s">
        <v>230</v>
      </c>
      <c r="G6" s="1" t="s">
        <v>231</v>
      </c>
      <c r="H6" s="1" t="s">
        <v>232</v>
      </c>
      <c r="I6" s="1" t="s">
        <v>134</v>
      </c>
    </row>
    <row r="7" spans="1:9" ht="20.6" x14ac:dyDescent="0.3">
      <c r="A7" s="34" t="s">
        <v>214</v>
      </c>
      <c r="B7" s="34">
        <v>0</v>
      </c>
      <c r="C7" s="34">
        <v>0</v>
      </c>
      <c r="D7" s="34">
        <v>0.91701898912765667</v>
      </c>
      <c r="E7" s="34">
        <v>1.8857409431372542E-4</v>
      </c>
      <c r="F7" s="34">
        <v>4.8411542977691034E-2</v>
      </c>
      <c r="G7" s="34">
        <v>5.5577883349295261E-3</v>
      </c>
      <c r="H7" s="34">
        <v>2.8823105465409098E-2</v>
      </c>
      <c r="I7" s="34">
        <f>SUM(Tabell717[[#This Row],[Kommunala bidrag]:[Övriga Intäkter]])</f>
        <v>1</v>
      </c>
    </row>
    <row r="8" spans="1:9" ht="20.6" x14ac:dyDescent="0.3">
      <c r="A8" s="34" t="s">
        <v>215</v>
      </c>
      <c r="B8" s="34">
        <v>6.544592031477478E-2</v>
      </c>
      <c r="C8" s="34">
        <v>0.52830244481750066</v>
      </c>
      <c r="D8" s="34">
        <v>0.31433949982051146</v>
      </c>
      <c r="E8" s="34">
        <v>7.0428289646113067E-3</v>
      </c>
      <c r="F8" s="34">
        <v>6.267498858185247E-2</v>
      </c>
      <c r="G8" s="34">
        <v>9.4567768460442018E-3</v>
      </c>
      <c r="H8" s="34">
        <v>1.2737540654705138E-2</v>
      </c>
      <c r="I8" s="34">
        <f>SUM(Tabell717[[#This Row],[Kommunala bidrag]:[Övriga Intäkter]])</f>
        <v>1</v>
      </c>
    </row>
    <row r="9" spans="1:9" ht="20.6" x14ac:dyDescent="0.3">
      <c r="A9" s="34" t="s">
        <v>216</v>
      </c>
      <c r="B9" s="34">
        <v>0.61065780865423047</v>
      </c>
      <c r="C9" s="34">
        <v>0.11523144721346892</v>
      </c>
      <c r="D9" s="34">
        <v>0.20544356336221564</v>
      </c>
      <c r="E9" s="34">
        <v>4.8017525983293681E-3</v>
      </c>
      <c r="F9" s="34">
        <v>4.2388984097260864E-2</v>
      </c>
      <c r="G9" s="34">
        <v>4.2698583336407388E-3</v>
      </c>
      <c r="H9" s="34">
        <v>1.7206585740853961E-2</v>
      </c>
      <c r="I9" s="34">
        <f>SUM(Tabell717[[#This Row],[Kommunala bidrag]:[Övriga Intäkter]])</f>
        <v>1</v>
      </c>
    </row>
    <row r="10" spans="1:9" ht="20.6" x14ac:dyDescent="0.3">
      <c r="A10" s="34" t="s">
        <v>233</v>
      </c>
      <c r="B10" s="34">
        <v>0.21189877823981329</v>
      </c>
      <c r="C10" s="34">
        <v>0.31597342952408114</v>
      </c>
      <c r="D10" s="34">
        <v>0.25275885540866533</v>
      </c>
      <c r="E10" s="34">
        <v>0.12480243656755841</v>
      </c>
      <c r="F10" s="34">
        <v>6.5141794612314549E-2</v>
      </c>
      <c r="G10" s="34">
        <v>4.9637418763133533E-3</v>
      </c>
      <c r="H10" s="34">
        <v>2.4460963771253931E-2</v>
      </c>
      <c r="I10" s="34">
        <f>SUM(Tabell717[[#This Row],[Kommunala bidrag]:[Övriga Intäkter]])</f>
        <v>0.99999999999999989</v>
      </c>
    </row>
    <row r="11" spans="1:9" x14ac:dyDescent="0.3">
      <c r="A11" s="35" t="s">
        <v>234</v>
      </c>
      <c r="B11" s="35">
        <v>0.17743136858273681</v>
      </c>
      <c r="C11" s="35">
        <v>0.32033931552742467</v>
      </c>
      <c r="D11" s="35">
        <v>0.38542302871286271</v>
      </c>
      <c r="E11" s="35">
        <v>3.340523523368303E-2</v>
      </c>
      <c r="F11" s="35">
        <v>5.7520274423849597E-2</v>
      </c>
      <c r="G11" s="35">
        <v>6.8815474852723432E-3</v>
      </c>
      <c r="H11" s="35">
        <v>1.8999230034170832E-2</v>
      </c>
      <c r="I11" s="35">
        <f>SUM(Tabell717[[#This Row],[Kommunala bidrag]:[Övriga Intäkter]])</f>
        <v>0.99999999999999989</v>
      </c>
    </row>
    <row r="12" spans="1:9" x14ac:dyDescent="0.3">
      <c r="A12" s="35" t="s">
        <v>235</v>
      </c>
      <c r="B12" s="35">
        <v>0.16334084487379841</v>
      </c>
      <c r="C12" s="35">
        <v>0.294994509358733</v>
      </c>
      <c r="D12" s="35">
        <v>0.32525005955043723</v>
      </c>
      <c r="E12" s="35">
        <v>3.3771095924531362E-2</v>
      </c>
      <c r="F12" s="35">
        <v>0.13796044071166697</v>
      </c>
      <c r="G12" s="35">
        <v>8.3045636486946631E-3</v>
      </c>
      <c r="H12" s="35">
        <v>3.6378485932138362E-2</v>
      </c>
      <c r="I12" s="35">
        <f>SUM(Tabell717[[#This Row],[Kommunala bidrag]:[Övriga Intäkter]])</f>
        <v>1</v>
      </c>
    </row>
    <row r="14" spans="1:9" x14ac:dyDescent="0.3">
      <c r="A14" s="66" t="s">
        <v>866</v>
      </c>
    </row>
    <row r="23" spans="2:2" x14ac:dyDescent="0.3">
      <c r="B23" s="60"/>
    </row>
  </sheetData>
  <hyperlinks>
    <hyperlink ref="A14" location="Innehåll!A1" display="Till innehållsförteckning" xr:uid="{19C7F375-D23F-4F73-B448-42AE3669E9FF}"/>
  </hyperlinks>
  <pageMargins left="0.7" right="0.7" top="0.75" bottom="0.75" header="0.3" footer="0.3"/>
  <pageSetup paperSize="9"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BDD52-73AC-4968-82A6-8296BADF7513}">
  <dimension ref="A1:F23"/>
  <sheetViews>
    <sheetView showGridLines="0" workbookViewId="0">
      <selection activeCell="H7" sqref="H7"/>
    </sheetView>
  </sheetViews>
  <sheetFormatPr defaultRowHeight="12.45" x14ac:dyDescent="0.3"/>
  <sheetData>
    <row r="1" spans="1:6" x14ac:dyDescent="0.3">
      <c r="A1" s="45" t="s">
        <v>900</v>
      </c>
    </row>
    <row r="2" spans="1:6" x14ac:dyDescent="0.3">
      <c r="A2" s="5" t="s">
        <v>855</v>
      </c>
    </row>
    <row r="3" spans="1:6" ht="198" customHeight="1" x14ac:dyDescent="0.3"/>
    <row r="4" spans="1:6" x14ac:dyDescent="0.3">
      <c r="A4" s="25" t="s">
        <v>245</v>
      </c>
    </row>
    <row r="6" spans="1:6" x14ac:dyDescent="0.3">
      <c r="A6" s="1" t="s">
        <v>236</v>
      </c>
      <c r="B6" s="1" t="s">
        <v>237</v>
      </c>
      <c r="C6" s="1" t="s">
        <v>238</v>
      </c>
      <c r="D6" s="1" t="s">
        <v>239</v>
      </c>
      <c r="E6" s="1" t="s">
        <v>240</v>
      </c>
      <c r="F6" s="1" t="s">
        <v>134</v>
      </c>
    </row>
    <row r="7" spans="1:6" ht="20.6" x14ac:dyDescent="0.3">
      <c r="A7" s="2" t="s">
        <v>214</v>
      </c>
      <c r="B7" s="34">
        <v>0.66043001831393089</v>
      </c>
      <c r="C7" s="34">
        <v>0.10890355620660763</v>
      </c>
      <c r="D7" s="34">
        <v>0.20091481467557085</v>
      </c>
      <c r="E7" s="34">
        <v>2.9751610803890622E-2</v>
      </c>
      <c r="F7" s="34">
        <f>SUM(Tabell103[[#This Row],[Personalkostnader]:[Finansiella kostnader och avskrivningar]])</f>
        <v>1</v>
      </c>
    </row>
    <row r="8" spans="1:6" ht="20.6" x14ac:dyDescent="0.3">
      <c r="A8" s="2" t="s">
        <v>215</v>
      </c>
      <c r="B8" s="34">
        <v>0.6252154417108553</v>
      </c>
      <c r="C8" s="34">
        <v>9.1350364756091956E-2</v>
      </c>
      <c r="D8" s="34">
        <v>0.26429728164094485</v>
      </c>
      <c r="E8" s="34">
        <v>1.9136911892107967E-2</v>
      </c>
      <c r="F8" s="34">
        <f>SUM(Tabell103[[#This Row],[Personalkostnader]:[Finansiella kostnader och avskrivningar]])</f>
        <v>1</v>
      </c>
    </row>
    <row r="9" spans="1:6" ht="20.6" x14ac:dyDescent="0.3">
      <c r="A9" s="2" t="s">
        <v>216</v>
      </c>
      <c r="B9" s="34">
        <v>0.56815330673278297</v>
      </c>
      <c r="C9" s="34">
        <v>0.17819611608769545</v>
      </c>
      <c r="D9" s="34">
        <v>0.23128350309341847</v>
      </c>
      <c r="E9" s="34">
        <v>2.2367074086103594E-2</v>
      </c>
      <c r="F9" s="34">
        <f>SUM(Tabell103[[#This Row],[Personalkostnader]:[Finansiella kostnader och avskrivningar]])</f>
        <v>1.0000000000000004</v>
      </c>
    </row>
    <row r="10" spans="1:6" ht="20.6" x14ac:dyDescent="0.3">
      <c r="A10" s="2" t="s">
        <v>233</v>
      </c>
      <c r="B10" s="34">
        <v>0.61478060383122735</v>
      </c>
      <c r="C10" s="34">
        <v>0.10272270479166556</v>
      </c>
      <c r="D10" s="34">
        <v>0.26808896955739964</v>
      </c>
      <c r="E10" s="52">
        <v>1.44077218197075E-2</v>
      </c>
      <c r="F10" s="34">
        <f>SUM(Tabell103[[#This Row],[Personalkostnader]:[Finansiella kostnader och avskrivningar]])</f>
        <v>1</v>
      </c>
    </row>
    <row r="11" spans="1:6" x14ac:dyDescent="0.3">
      <c r="A11" s="36" t="s">
        <v>234</v>
      </c>
      <c r="B11" s="35">
        <v>0.6195084078545865</v>
      </c>
      <c r="C11" s="35">
        <v>0.11106873460062582</v>
      </c>
      <c r="D11" s="35">
        <v>0.24515646103906732</v>
      </c>
      <c r="E11" s="35">
        <v>2.0351664395421003E-2</v>
      </c>
      <c r="F11" s="35">
        <f>SUM(Tabell103[[#This Row],[Personalkostnader]:[Finansiella kostnader och avskrivningar]])</f>
        <v>0.99608526788970064</v>
      </c>
    </row>
    <row r="12" spans="1:6" x14ac:dyDescent="0.3">
      <c r="A12" s="31" t="s">
        <v>235</v>
      </c>
      <c r="B12" s="52">
        <v>0.59</v>
      </c>
      <c r="C12" s="52">
        <v>0.1</v>
      </c>
      <c r="D12" s="52">
        <v>0.28999999999999998</v>
      </c>
      <c r="E12" s="52">
        <v>0.02</v>
      </c>
      <c r="F12" s="52">
        <f>SUM(Tabell103[[#This Row],[Personalkostnader]:[Finansiella kostnader och avskrivningar]])</f>
        <v>1</v>
      </c>
    </row>
    <row r="14" spans="1:6" x14ac:dyDescent="0.3">
      <c r="A14" s="66" t="s">
        <v>866</v>
      </c>
    </row>
    <row r="23" spans="2:2" x14ac:dyDescent="0.3">
      <c r="B23" s="60"/>
    </row>
  </sheetData>
  <hyperlinks>
    <hyperlink ref="A14" location="Innehåll!A1" display="Till innehållsförteckning" xr:uid="{E7FB8E35-25E6-4B0C-A5AE-9F0E8EAB7346}"/>
  </hyperlink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C1503-432C-4161-9875-075F55765353}">
  <sheetPr codeName="Blad1"/>
  <dimension ref="A1:M83"/>
  <sheetViews>
    <sheetView showGridLines="0" topLeftCell="A52" zoomScaleNormal="100" workbookViewId="0">
      <pane xSplit="1" topLeftCell="B1" activePane="topRight" state="frozen"/>
      <selection activeCell="H45" sqref="H45"/>
      <selection pane="topRight" activeCell="Q60" sqref="Q60"/>
    </sheetView>
  </sheetViews>
  <sheetFormatPr defaultRowHeight="12.45" x14ac:dyDescent="0.3"/>
  <cols>
    <col min="1" max="1" width="21.69140625" customWidth="1"/>
    <col min="2" max="2" width="11.15234375" customWidth="1"/>
    <col min="3" max="3" width="14" customWidth="1"/>
    <col min="4" max="4" width="8.3046875" customWidth="1"/>
    <col min="5" max="5" width="14.15234375" customWidth="1"/>
    <col min="6" max="6" width="9.69140625" customWidth="1"/>
    <col min="7" max="8" width="12.53515625" customWidth="1"/>
    <col min="9" max="9" width="11.84375" customWidth="1"/>
    <col min="10" max="10" width="11.3828125" customWidth="1"/>
    <col min="11" max="11" width="12.3046875" customWidth="1"/>
  </cols>
  <sheetData>
    <row r="1" spans="1:13" x14ac:dyDescent="0.3">
      <c r="A1" s="64" t="s">
        <v>913</v>
      </c>
    </row>
    <row r="2" spans="1:13" x14ac:dyDescent="0.3">
      <c r="A2" s="45"/>
    </row>
    <row r="3" spans="1:13" s="43" customFormat="1" ht="48.75" customHeight="1" x14ac:dyDescent="0.3">
      <c r="A3" s="40" t="s">
        <v>89</v>
      </c>
      <c r="B3" s="40" t="s">
        <v>67</v>
      </c>
      <c r="C3" s="40" t="s">
        <v>847</v>
      </c>
      <c r="D3" s="40" t="s">
        <v>66</v>
      </c>
      <c r="E3" s="40" t="s">
        <v>905</v>
      </c>
      <c r="F3" s="40" t="s">
        <v>862</v>
      </c>
      <c r="G3" s="40" t="s">
        <v>860</v>
      </c>
      <c r="H3" s="40" t="s">
        <v>908</v>
      </c>
      <c r="I3" s="40" t="s">
        <v>204</v>
      </c>
      <c r="J3" s="40" t="s">
        <v>861</v>
      </c>
      <c r="K3" s="40" t="s">
        <v>88</v>
      </c>
      <c r="L3" s="40"/>
      <c r="M3" s="40"/>
    </row>
    <row r="4" spans="1:13" x14ac:dyDescent="0.3">
      <c r="A4" s="2" t="s">
        <v>30</v>
      </c>
      <c r="B4" s="3" t="s">
        <v>90</v>
      </c>
      <c r="C4" s="3" t="s">
        <v>75</v>
      </c>
      <c r="D4" s="3" t="s">
        <v>74</v>
      </c>
      <c r="E4" s="41">
        <v>116</v>
      </c>
      <c r="F4" s="41">
        <v>419</v>
      </c>
      <c r="G4" s="41">
        <v>56</v>
      </c>
      <c r="H4" s="41">
        <v>376</v>
      </c>
      <c r="I4" s="41">
        <f>7117+3634+18139</f>
        <v>28890</v>
      </c>
      <c r="J4" s="41">
        <f>6455+2600+13590</f>
        <v>22645</v>
      </c>
      <c r="K4" s="41">
        <v>147</v>
      </c>
    </row>
    <row r="5" spans="1:13" ht="21.75" customHeight="1" x14ac:dyDescent="0.3">
      <c r="A5" s="2" t="s">
        <v>40</v>
      </c>
      <c r="B5" s="3" t="s">
        <v>91</v>
      </c>
      <c r="C5" s="3" t="s">
        <v>78</v>
      </c>
      <c r="D5" s="3" t="s">
        <v>74</v>
      </c>
      <c r="E5" s="41">
        <v>60</v>
      </c>
      <c r="F5" s="41">
        <v>26</v>
      </c>
      <c r="G5" s="41">
        <v>1</v>
      </c>
      <c r="H5" s="41">
        <f>53+1+21</f>
        <v>75</v>
      </c>
      <c r="I5" s="41">
        <f>2139+35+955</f>
        <v>3129</v>
      </c>
      <c r="J5" s="41">
        <f>1815+35+432</f>
        <v>2282</v>
      </c>
      <c r="K5" s="41">
        <v>0</v>
      </c>
    </row>
    <row r="6" spans="1:13" x14ac:dyDescent="0.3">
      <c r="A6" s="2" t="s">
        <v>4</v>
      </c>
      <c r="B6" s="3" t="s">
        <v>93</v>
      </c>
      <c r="C6" s="3" t="s">
        <v>78</v>
      </c>
      <c r="D6" s="3" t="s">
        <v>74</v>
      </c>
      <c r="E6" s="41">
        <v>64</v>
      </c>
      <c r="F6" s="41">
        <v>12</v>
      </c>
      <c r="G6" s="41">
        <v>0</v>
      </c>
      <c r="H6" s="41">
        <f>45+6</f>
        <v>51</v>
      </c>
      <c r="I6" s="41">
        <f>2852+897</f>
        <v>3749</v>
      </c>
      <c r="J6" s="41">
        <f>2172+412</f>
        <v>2584</v>
      </c>
      <c r="K6" s="41">
        <v>0</v>
      </c>
    </row>
    <row r="7" spans="1:13" x14ac:dyDescent="0.3">
      <c r="A7" s="2" t="s">
        <v>8</v>
      </c>
      <c r="B7" s="3" t="s">
        <v>93</v>
      </c>
      <c r="C7" s="3" t="s">
        <v>81</v>
      </c>
      <c r="D7" s="3" t="s">
        <v>74</v>
      </c>
      <c r="E7" s="41">
        <v>0</v>
      </c>
      <c r="F7" s="41">
        <v>30</v>
      </c>
      <c r="G7" s="41">
        <v>0</v>
      </c>
      <c r="H7" s="41">
        <v>10</v>
      </c>
      <c r="I7" s="41">
        <v>1294</v>
      </c>
      <c r="J7" s="41">
        <v>413</v>
      </c>
      <c r="K7" s="41">
        <v>0</v>
      </c>
    </row>
    <row r="8" spans="1:13" x14ac:dyDescent="0.3">
      <c r="A8" s="2" t="s">
        <v>64</v>
      </c>
      <c r="B8" s="3" t="s">
        <v>93</v>
      </c>
      <c r="C8" s="3" t="s">
        <v>77</v>
      </c>
      <c r="D8" s="3" t="s">
        <v>74</v>
      </c>
      <c r="E8" s="41">
        <v>13</v>
      </c>
      <c r="F8" s="41">
        <v>0</v>
      </c>
      <c r="G8" s="41">
        <v>3</v>
      </c>
      <c r="H8" s="41">
        <v>0</v>
      </c>
      <c r="I8" s="41">
        <v>279</v>
      </c>
      <c r="J8" s="41">
        <v>15</v>
      </c>
      <c r="K8" s="41">
        <v>1</v>
      </c>
    </row>
    <row r="9" spans="1:13" x14ac:dyDescent="0.3">
      <c r="A9" s="2" t="s">
        <v>31</v>
      </c>
      <c r="B9" s="3" t="s">
        <v>93</v>
      </c>
      <c r="C9" s="3" t="s">
        <v>75</v>
      </c>
      <c r="D9" s="3" t="s">
        <v>74</v>
      </c>
      <c r="E9" s="41">
        <v>56</v>
      </c>
      <c r="F9" s="41">
        <v>27</v>
      </c>
      <c r="G9" s="41">
        <v>1</v>
      </c>
      <c r="H9" s="41">
        <v>27</v>
      </c>
      <c r="I9" s="41">
        <f>5679+130+2255</f>
        <v>8064</v>
      </c>
      <c r="J9" s="41">
        <f>70+2116</f>
        <v>2186</v>
      </c>
      <c r="K9" s="41">
        <v>6</v>
      </c>
    </row>
    <row r="10" spans="1:13" x14ac:dyDescent="0.3">
      <c r="A10" s="2" t="s">
        <v>63</v>
      </c>
      <c r="B10" s="3" t="s">
        <v>93</v>
      </c>
      <c r="C10" s="3" t="s">
        <v>79</v>
      </c>
      <c r="D10" s="3" t="s">
        <v>80</v>
      </c>
      <c r="E10" s="41">
        <v>0</v>
      </c>
      <c r="F10" s="41">
        <v>0</v>
      </c>
      <c r="G10" s="41">
        <v>0</v>
      </c>
      <c r="H10" s="41">
        <v>0</v>
      </c>
      <c r="I10" s="41">
        <v>0</v>
      </c>
      <c r="J10" s="41">
        <v>0</v>
      </c>
      <c r="K10" s="41">
        <v>0</v>
      </c>
    </row>
    <row r="11" spans="1:13" x14ac:dyDescent="0.3">
      <c r="A11" s="2" t="s">
        <v>65</v>
      </c>
      <c r="B11" s="3" t="s">
        <v>93</v>
      </c>
      <c r="C11" s="3" t="s">
        <v>79</v>
      </c>
      <c r="D11" s="3" t="s">
        <v>74</v>
      </c>
      <c r="E11" s="41">
        <v>0</v>
      </c>
      <c r="F11" s="41">
        <v>0</v>
      </c>
      <c r="G11" s="41">
        <v>0</v>
      </c>
      <c r="H11" s="41">
        <v>0</v>
      </c>
      <c r="I11" s="41">
        <v>0</v>
      </c>
      <c r="J11" s="41">
        <v>0</v>
      </c>
      <c r="K11" s="41">
        <v>0</v>
      </c>
    </row>
    <row r="12" spans="1:13" x14ac:dyDescent="0.3">
      <c r="A12" s="2" t="s">
        <v>12</v>
      </c>
      <c r="B12" s="3" t="s">
        <v>92</v>
      </c>
      <c r="C12" s="3" t="s">
        <v>75</v>
      </c>
      <c r="D12" s="3" t="s">
        <v>80</v>
      </c>
      <c r="E12" s="41">
        <v>206</v>
      </c>
      <c r="F12" s="41">
        <v>0</v>
      </c>
      <c r="G12" s="41">
        <v>0</v>
      </c>
      <c r="H12" s="41">
        <v>110</v>
      </c>
      <c r="I12" s="41">
        <v>9450</v>
      </c>
      <c r="J12" s="41">
        <v>5007</v>
      </c>
      <c r="K12" s="41">
        <v>23</v>
      </c>
    </row>
    <row r="13" spans="1:13" x14ac:dyDescent="0.3">
      <c r="A13" s="2" t="s">
        <v>25</v>
      </c>
      <c r="B13" s="3" t="s">
        <v>92</v>
      </c>
      <c r="C13" s="3" t="s">
        <v>82</v>
      </c>
      <c r="D13" s="3" t="s">
        <v>74</v>
      </c>
      <c r="E13" s="41">
        <v>72</v>
      </c>
      <c r="F13" s="41">
        <v>15</v>
      </c>
      <c r="G13" s="41">
        <v>0</v>
      </c>
      <c r="H13" s="41">
        <f>50+10</f>
        <v>60</v>
      </c>
      <c r="I13" s="41">
        <f>3113+662</f>
        <v>3775</v>
      </c>
      <c r="J13" s="41">
        <f>1321+240</f>
        <v>1561</v>
      </c>
      <c r="K13" s="41">
        <v>16</v>
      </c>
    </row>
    <row r="14" spans="1:13" x14ac:dyDescent="0.3">
      <c r="A14" s="2" t="s">
        <v>13</v>
      </c>
      <c r="B14" s="3" t="s">
        <v>94</v>
      </c>
      <c r="C14" s="3" t="s">
        <v>75</v>
      </c>
      <c r="D14" s="3" t="s">
        <v>74</v>
      </c>
      <c r="E14" s="41">
        <v>53</v>
      </c>
      <c r="F14" s="41">
        <v>0</v>
      </c>
      <c r="G14" s="41">
        <v>7</v>
      </c>
      <c r="H14" s="41">
        <v>37</v>
      </c>
      <c r="I14" s="41">
        <f>12209+3700</f>
        <v>15909</v>
      </c>
      <c r="J14" s="41">
        <v>3800</v>
      </c>
      <c r="K14" s="41">
        <v>27</v>
      </c>
    </row>
    <row r="15" spans="1:13" ht="19.5" customHeight="1" x14ac:dyDescent="0.3">
      <c r="A15" s="2" t="s">
        <v>20</v>
      </c>
      <c r="B15" s="3" t="s">
        <v>94</v>
      </c>
      <c r="C15" s="3" t="s">
        <v>83</v>
      </c>
      <c r="D15" s="3" t="s">
        <v>80</v>
      </c>
      <c r="E15" s="41">
        <v>15</v>
      </c>
      <c r="F15" s="41">
        <v>0</v>
      </c>
      <c r="G15" s="41">
        <v>0</v>
      </c>
      <c r="H15" s="41">
        <v>1</v>
      </c>
      <c r="I15" s="41">
        <v>921</v>
      </c>
      <c r="J15" s="41">
        <v>50</v>
      </c>
      <c r="K15" s="41">
        <v>3</v>
      </c>
    </row>
    <row r="16" spans="1:13" x14ac:dyDescent="0.3">
      <c r="A16" s="2" t="s">
        <v>10</v>
      </c>
      <c r="B16" s="3" t="s">
        <v>94</v>
      </c>
      <c r="C16" s="3" t="s">
        <v>76</v>
      </c>
      <c r="D16" s="3" t="s">
        <v>74</v>
      </c>
      <c r="E16" s="41">
        <v>67</v>
      </c>
      <c r="F16" s="41">
        <v>1</v>
      </c>
      <c r="G16" s="41">
        <v>9</v>
      </c>
      <c r="H16" s="41">
        <v>7</v>
      </c>
      <c r="I16" s="41">
        <f>3680+917+113</f>
        <v>4710</v>
      </c>
      <c r="J16" s="41">
        <f>82+20</f>
        <v>102</v>
      </c>
      <c r="K16" s="41">
        <v>8</v>
      </c>
    </row>
    <row r="17" spans="1:11" x14ac:dyDescent="0.3">
      <c r="A17" s="2" t="s">
        <v>41</v>
      </c>
      <c r="B17" s="3" t="s">
        <v>95</v>
      </c>
      <c r="C17" s="3" t="s">
        <v>77</v>
      </c>
      <c r="D17" s="3" t="s">
        <v>80</v>
      </c>
      <c r="E17" s="41">
        <v>11</v>
      </c>
      <c r="F17" s="41">
        <v>10</v>
      </c>
      <c r="G17" s="41">
        <v>0</v>
      </c>
      <c r="H17" s="41">
        <v>11</v>
      </c>
      <c r="I17" s="41">
        <f>1426+429</f>
        <v>1855</v>
      </c>
      <c r="J17" s="41">
        <f>1176+48</f>
        <v>1224</v>
      </c>
      <c r="K17" s="41">
        <v>0</v>
      </c>
    </row>
    <row r="18" spans="1:11" x14ac:dyDescent="0.3">
      <c r="A18" s="2" t="s">
        <v>29</v>
      </c>
      <c r="B18" s="3" t="s">
        <v>95</v>
      </c>
      <c r="C18" s="3" t="s">
        <v>85</v>
      </c>
      <c r="D18" s="3" t="s">
        <v>80</v>
      </c>
      <c r="E18" s="41">
        <v>0</v>
      </c>
      <c r="F18" s="41">
        <v>121</v>
      </c>
      <c r="G18" s="41">
        <v>0</v>
      </c>
      <c r="H18" s="41">
        <v>9</v>
      </c>
      <c r="I18" s="41">
        <v>5858</v>
      </c>
      <c r="J18" s="41">
        <v>489</v>
      </c>
      <c r="K18" s="41">
        <v>0</v>
      </c>
    </row>
    <row r="19" spans="1:11" x14ac:dyDescent="0.3">
      <c r="A19" s="2" t="s">
        <v>51</v>
      </c>
      <c r="B19" s="3" t="s">
        <v>95</v>
      </c>
      <c r="C19" s="3" t="s">
        <v>78</v>
      </c>
      <c r="D19" s="3" t="s">
        <v>74</v>
      </c>
      <c r="E19" s="41">
        <v>150</v>
      </c>
      <c r="F19" s="41">
        <v>4</v>
      </c>
      <c r="G19" s="41">
        <v>3</v>
      </c>
      <c r="H19" s="41">
        <f>138+1</f>
        <v>139</v>
      </c>
      <c r="I19" s="41">
        <f>6191+411+130</f>
        <v>6732</v>
      </c>
      <c r="J19" s="41">
        <f>4481+45+10</f>
        <v>4536</v>
      </c>
      <c r="K19" s="41">
        <v>2</v>
      </c>
    </row>
    <row r="20" spans="1:11" ht="20.6" x14ac:dyDescent="0.3">
      <c r="A20" s="7" t="s">
        <v>34</v>
      </c>
      <c r="B20" s="3" t="s">
        <v>96</v>
      </c>
      <c r="C20" s="3" t="s">
        <v>86</v>
      </c>
      <c r="D20" s="3" t="s">
        <v>74</v>
      </c>
      <c r="E20" s="41">
        <v>113</v>
      </c>
      <c r="F20" s="41">
        <v>17</v>
      </c>
      <c r="G20" s="41">
        <v>114</v>
      </c>
      <c r="H20" s="41">
        <f>107+107+6</f>
        <v>220</v>
      </c>
      <c r="I20" s="41">
        <f>7843+3068+810</f>
        <v>11721</v>
      </c>
      <c r="J20" s="41">
        <f>4245+2478+290</f>
        <v>7013</v>
      </c>
      <c r="K20" s="41">
        <v>4</v>
      </c>
    </row>
    <row r="21" spans="1:11" x14ac:dyDescent="0.3">
      <c r="A21" s="2" t="s">
        <v>70</v>
      </c>
      <c r="B21" s="3" t="s">
        <v>96</v>
      </c>
      <c r="C21" s="3" t="s">
        <v>83</v>
      </c>
      <c r="D21" s="3" t="s">
        <v>80</v>
      </c>
      <c r="E21" s="41">
        <v>51</v>
      </c>
      <c r="F21" s="41">
        <v>84</v>
      </c>
      <c r="G21" s="41">
        <v>11</v>
      </c>
      <c r="H21" s="41">
        <f>13+54</f>
        <v>67</v>
      </c>
      <c r="I21" s="41">
        <f>3496+428+4298</f>
        <v>8222</v>
      </c>
      <c r="J21" s="41">
        <f>1528+3174</f>
        <v>4702</v>
      </c>
      <c r="K21" s="41">
        <v>4</v>
      </c>
    </row>
    <row r="22" spans="1:11" x14ac:dyDescent="0.3">
      <c r="A22" s="2" t="s">
        <v>71</v>
      </c>
      <c r="B22" s="3" t="s">
        <v>96</v>
      </c>
      <c r="C22" s="3" t="s">
        <v>79</v>
      </c>
      <c r="D22" s="3" t="s">
        <v>80</v>
      </c>
      <c r="E22" s="41">
        <v>0</v>
      </c>
      <c r="F22" s="41">
        <v>0</v>
      </c>
      <c r="G22" s="41">
        <v>0</v>
      </c>
      <c r="H22" s="41">
        <v>0</v>
      </c>
      <c r="I22" s="41">
        <v>0</v>
      </c>
      <c r="J22" s="41">
        <v>0</v>
      </c>
      <c r="K22" s="41">
        <v>0</v>
      </c>
    </row>
    <row r="23" spans="1:11" x14ac:dyDescent="0.3">
      <c r="A23" s="2" t="s">
        <v>72</v>
      </c>
      <c r="B23" s="61" t="s">
        <v>96</v>
      </c>
      <c r="C23" s="3" t="s">
        <v>76</v>
      </c>
      <c r="D23" s="3" t="s">
        <v>80</v>
      </c>
      <c r="E23" s="41">
        <v>2</v>
      </c>
      <c r="F23" s="41">
        <v>0</v>
      </c>
      <c r="G23" s="41">
        <v>0</v>
      </c>
      <c r="H23" s="41">
        <v>2</v>
      </c>
      <c r="I23" s="41">
        <v>108</v>
      </c>
      <c r="J23" s="41">
        <v>26</v>
      </c>
      <c r="K23" s="41">
        <v>25</v>
      </c>
    </row>
    <row r="24" spans="1:11" ht="20.6" x14ac:dyDescent="0.3">
      <c r="A24" s="7" t="s">
        <v>52</v>
      </c>
      <c r="B24" s="3" t="s">
        <v>96</v>
      </c>
      <c r="C24" s="3" t="s">
        <v>122</v>
      </c>
      <c r="D24" s="3" t="s">
        <v>80</v>
      </c>
      <c r="E24" s="41">
        <v>32</v>
      </c>
      <c r="F24" s="41">
        <v>0</v>
      </c>
      <c r="G24" s="41">
        <v>0</v>
      </c>
      <c r="H24" s="41">
        <v>21</v>
      </c>
      <c r="I24" s="41">
        <v>1337</v>
      </c>
      <c r="J24" s="41">
        <v>550</v>
      </c>
      <c r="K24" s="41">
        <v>0</v>
      </c>
    </row>
    <row r="25" spans="1:11" ht="20.6" x14ac:dyDescent="0.3">
      <c r="A25" s="2" t="s">
        <v>46</v>
      </c>
      <c r="B25" s="3" t="s">
        <v>97</v>
      </c>
      <c r="C25" s="3" t="s">
        <v>87</v>
      </c>
      <c r="D25" s="3" t="s">
        <v>74</v>
      </c>
      <c r="E25" s="41">
        <v>340</v>
      </c>
      <c r="F25" s="41">
        <v>22</v>
      </c>
      <c r="G25" s="41">
        <v>0</v>
      </c>
      <c r="H25" s="41">
        <f>193+5</f>
        <v>198</v>
      </c>
      <c r="I25" s="41">
        <f>18669+2579</f>
        <v>21248</v>
      </c>
      <c r="J25" s="41">
        <f>7777+655</f>
        <v>8432</v>
      </c>
      <c r="K25" s="41">
        <v>33</v>
      </c>
    </row>
    <row r="26" spans="1:11" ht="12.75" customHeight="1" x14ac:dyDescent="0.3">
      <c r="A26" s="2" t="s">
        <v>2</v>
      </c>
      <c r="B26" s="3" t="s">
        <v>98</v>
      </c>
      <c r="C26" s="3" t="s">
        <v>78</v>
      </c>
      <c r="D26" s="3" t="s">
        <v>74</v>
      </c>
      <c r="E26" s="41">
        <v>91</v>
      </c>
      <c r="F26" s="41">
        <v>1</v>
      </c>
      <c r="G26" s="41">
        <v>27</v>
      </c>
      <c r="H26" s="41">
        <f>74+26</f>
        <v>100</v>
      </c>
      <c r="I26" s="41">
        <f>4021+1741+145</f>
        <v>5907</v>
      </c>
      <c r="J26" s="41">
        <f>3182+1705+12</f>
        <v>4899</v>
      </c>
      <c r="K26" s="41">
        <v>1</v>
      </c>
    </row>
    <row r="27" spans="1:11" ht="14.25" customHeight="1" x14ac:dyDescent="0.3">
      <c r="A27" s="2" t="s">
        <v>19</v>
      </c>
      <c r="B27" s="3" t="s">
        <v>98</v>
      </c>
      <c r="C27" s="3" t="s">
        <v>75</v>
      </c>
      <c r="D27" s="3" t="s">
        <v>80</v>
      </c>
      <c r="E27" s="41">
        <v>55</v>
      </c>
      <c r="F27" s="41">
        <v>22</v>
      </c>
      <c r="G27" s="41">
        <v>17</v>
      </c>
      <c r="H27" s="41">
        <f>17+7+22</f>
        <v>46</v>
      </c>
      <c r="I27" s="41">
        <f>3178+720+954</f>
        <v>4852</v>
      </c>
      <c r="J27" s="41">
        <f>1109+301+924</f>
        <v>2334</v>
      </c>
      <c r="K27" s="41">
        <v>86</v>
      </c>
    </row>
    <row r="28" spans="1:11" x14ac:dyDescent="0.3">
      <c r="A28" s="2" t="s">
        <v>5</v>
      </c>
      <c r="B28" s="3" t="s">
        <v>99</v>
      </c>
      <c r="C28" s="3" t="s">
        <v>77</v>
      </c>
      <c r="D28" s="3" t="s">
        <v>80</v>
      </c>
      <c r="E28" s="41">
        <v>31</v>
      </c>
      <c r="F28" s="41">
        <v>32</v>
      </c>
      <c r="G28" s="41">
        <v>2</v>
      </c>
      <c r="H28" s="41">
        <f>13+1+28</f>
        <v>42</v>
      </c>
      <c r="I28" s="41">
        <f>1149+79+1560</f>
        <v>2788</v>
      </c>
      <c r="J28" s="41">
        <f>572+50+944</f>
        <v>1566</v>
      </c>
      <c r="K28" s="41">
        <v>4</v>
      </c>
    </row>
    <row r="29" spans="1:11" x14ac:dyDescent="0.3">
      <c r="A29" s="2" t="s">
        <v>35</v>
      </c>
      <c r="B29" s="3" t="s">
        <v>99</v>
      </c>
      <c r="C29" s="3" t="s">
        <v>85</v>
      </c>
      <c r="D29" s="3" t="s">
        <v>80</v>
      </c>
      <c r="E29" s="41">
        <v>96</v>
      </c>
      <c r="F29" s="41">
        <v>113</v>
      </c>
      <c r="G29" s="41">
        <v>23</v>
      </c>
      <c r="H29" s="41">
        <f>71+1+109</f>
        <v>181</v>
      </c>
      <c r="I29" s="41">
        <f>5580+2904+6531</f>
        <v>15015</v>
      </c>
      <c r="J29" s="41">
        <f>3275+500+5756</f>
        <v>9531</v>
      </c>
      <c r="K29" s="41">
        <v>26</v>
      </c>
    </row>
    <row r="30" spans="1:11" x14ac:dyDescent="0.3">
      <c r="A30" s="2" t="s">
        <v>36</v>
      </c>
      <c r="B30" s="3" t="s">
        <v>99</v>
      </c>
      <c r="C30" s="3" t="s">
        <v>76</v>
      </c>
      <c r="D30" s="3" t="s">
        <v>74</v>
      </c>
      <c r="E30" s="41">
        <v>141</v>
      </c>
      <c r="F30" s="41">
        <v>10</v>
      </c>
      <c r="G30" s="41">
        <v>0</v>
      </c>
      <c r="H30" s="41">
        <v>70</v>
      </c>
      <c r="I30" s="41">
        <f>6876+468</f>
        <v>7344</v>
      </c>
      <c r="J30" s="41">
        <v>2110</v>
      </c>
      <c r="K30" s="41">
        <v>0</v>
      </c>
    </row>
    <row r="31" spans="1:11" ht="19.5" customHeight="1" x14ac:dyDescent="0.3">
      <c r="A31" s="2" t="s">
        <v>68</v>
      </c>
      <c r="B31" s="3" t="s">
        <v>100</v>
      </c>
      <c r="C31" s="3" t="s">
        <v>76</v>
      </c>
      <c r="D31" s="3" t="s">
        <v>74</v>
      </c>
      <c r="E31" s="41">
        <v>175</v>
      </c>
      <c r="F31" s="41">
        <v>6</v>
      </c>
      <c r="G31" s="41">
        <v>10</v>
      </c>
      <c r="H31" s="41">
        <f>48</f>
        <v>48</v>
      </c>
      <c r="I31" s="41">
        <f>18435+312+388</f>
        <v>19135</v>
      </c>
      <c r="J31" s="41">
        <f>3004+17</f>
        <v>3021</v>
      </c>
      <c r="K31" s="41">
        <v>1</v>
      </c>
    </row>
    <row r="32" spans="1:11" ht="18.75" customHeight="1" x14ac:dyDescent="0.3">
      <c r="A32" s="2" t="s">
        <v>69</v>
      </c>
      <c r="B32" s="3" t="s">
        <v>100</v>
      </c>
      <c r="C32" s="3" t="s">
        <v>75</v>
      </c>
      <c r="D32" s="3" t="s">
        <v>74</v>
      </c>
      <c r="E32" s="41">
        <v>37</v>
      </c>
      <c r="F32" s="41">
        <v>0</v>
      </c>
      <c r="G32" s="41">
        <v>1</v>
      </c>
      <c r="H32" s="41">
        <v>15</v>
      </c>
      <c r="I32" s="41">
        <f>9175+742</f>
        <v>9917</v>
      </c>
      <c r="J32" s="41">
        <f>2406</f>
        <v>2406</v>
      </c>
      <c r="K32" s="41">
        <v>29</v>
      </c>
    </row>
    <row r="33" spans="1:11" ht="20.6" x14ac:dyDescent="0.3">
      <c r="A33" s="2" t="s">
        <v>26</v>
      </c>
      <c r="B33" s="3" t="s">
        <v>100</v>
      </c>
      <c r="C33" s="3" t="s">
        <v>75</v>
      </c>
      <c r="D33" s="3" t="s">
        <v>74</v>
      </c>
      <c r="E33" s="41">
        <v>95</v>
      </c>
      <c r="F33" s="41">
        <v>0</v>
      </c>
      <c r="G33" s="41">
        <v>2</v>
      </c>
      <c r="H33" s="41">
        <v>22</v>
      </c>
      <c r="I33" s="41">
        <f>21610+2916</f>
        <v>24526</v>
      </c>
      <c r="J33" s="41">
        <v>3236</v>
      </c>
      <c r="K33" s="41">
        <v>79</v>
      </c>
    </row>
    <row r="34" spans="1:11" ht="20.6" x14ac:dyDescent="0.3">
      <c r="A34" s="2" t="s">
        <v>27</v>
      </c>
      <c r="B34" s="3" t="s">
        <v>100</v>
      </c>
      <c r="C34" s="3" t="s">
        <v>79</v>
      </c>
      <c r="D34" s="3" t="s">
        <v>74</v>
      </c>
      <c r="E34" s="41">
        <v>147</v>
      </c>
      <c r="F34" s="41">
        <v>0</v>
      </c>
      <c r="G34" s="41">
        <v>1</v>
      </c>
      <c r="H34" s="41">
        <v>21</v>
      </c>
      <c r="I34" s="41">
        <f>59768+50</f>
        <v>59818</v>
      </c>
      <c r="J34" s="41">
        <v>10879</v>
      </c>
      <c r="K34" s="41">
        <v>5</v>
      </c>
    </row>
    <row r="35" spans="1:11" x14ac:dyDescent="0.3">
      <c r="A35" s="2" t="s">
        <v>28</v>
      </c>
      <c r="B35" s="3" t="s">
        <v>100</v>
      </c>
      <c r="C35" s="3" t="s">
        <v>76</v>
      </c>
      <c r="D35" s="3" t="s">
        <v>74</v>
      </c>
      <c r="E35" s="41">
        <v>213</v>
      </c>
      <c r="F35" s="41">
        <v>0</v>
      </c>
      <c r="G35" s="41">
        <v>0</v>
      </c>
      <c r="H35" s="41">
        <v>94</v>
      </c>
      <c r="I35" s="41">
        <v>18196</v>
      </c>
      <c r="J35" s="41">
        <v>2348</v>
      </c>
      <c r="K35" s="41">
        <v>6</v>
      </c>
    </row>
    <row r="36" spans="1:11" x14ac:dyDescent="0.3">
      <c r="A36" s="2" t="s">
        <v>45</v>
      </c>
      <c r="B36" s="3" t="s">
        <v>100</v>
      </c>
      <c r="C36" s="3" t="s">
        <v>77</v>
      </c>
      <c r="D36" s="3" t="s">
        <v>74</v>
      </c>
      <c r="E36" s="41">
        <v>30</v>
      </c>
      <c r="F36" s="41">
        <v>2</v>
      </c>
      <c r="G36" s="41">
        <v>16</v>
      </c>
      <c r="H36" s="41">
        <v>15</v>
      </c>
      <c r="I36" s="41">
        <f>6805+2137+85</f>
        <v>9027</v>
      </c>
      <c r="J36" s="41">
        <f>1692</f>
        <v>1692</v>
      </c>
      <c r="K36" s="41">
        <v>8</v>
      </c>
    </row>
    <row r="37" spans="1:11" x14ac:dyDescent="0.3">
      <c r="A37" s="7" t="s">
        <v>48</v>
      </c>
      <c r="B37" s="3" t="s">
        <v>100</v>
      </c>
      <c r="C37" s="3" t="s">
        <v>76</v>
      </c>
      <c r="D37" s="3" t="s">
        <v>74</v>
      </c>
      <c r="E37" s="41">
        <v>18</v>
      </c>
      <c r="F37" s="41">
        <v>0</v>
      </c>
      <c r="G37" s="41">
        <v>0</v>
      </c>
      <c r="H37" s="41">
        <v>13</v>
      </c>
      <c r="I37" s="41">
        <v>460</v>
      </c>
      <c r="J37" s="41">
        <v>285</v>
      </c>
      <c r="K37" s="41">
        <v>0</v>
      </c>
    </row>
    <row r="38" spans="1:11" ht="24" customHeight="1" x14ac:dyDescent="0.3">
      <c r="A38" s="2" t="s">
        <v>32</v>
      </c>
      <c r="B38" s="3" t="s">
        <v>101</v>
      </c>
      <c r="C38" s="3" t="s">
        <v>75</v>
      </c>
      <c r="D38" s="3" t="s">
        <v>74</v>
      </c>
      <c r="E38" s="41">
        <f>1284</f>
        <v>1284</v>
      </c>
      <c r="F38" s="41">
        <v>0</v>
      </c>
      <c r="G38" s="41">
        <v>63</v>
      </c>
      <c r="H38" s="41">
        <f>676+36</f>
        <v>712</v>
      </c>
      <c r="I38" s="41">
        <f>66462+7215</f>
        <v>73677</v>
      </c>
      <c r="J38" s="41">
        <f>31596+2490</f>
        <v>34086</v>
      </c>
      <c r="K38" s="41">
        <v>228</v>
      </c>
    </row>
    <row r="39" spans="1:11" x14ac:dyDescent="0.3">
      <c r="A39" s="2" t="s">
        <v>0</v>
      </c>
      <c r="B39" s="3" t="s">
        <v>102</v>
      </c>
      <c r="C39" s="3" t="s">
        <v>75</v>
      </c>
      <c r="D39" s="3" t="s">
        <v>74</v>
      </c>
      <c r="E39" s="41">
        <v>50</v>
      </c>
      <c r="F39" s="41">
        <v>0</v>
      </c>
      <c r="G39" s="41">
        <v>0</v>
      </c>
      <c r="H39" s="41">
        <v>3</v>
      </c>
      <c r="I39" s="41">
        <v>19200</v>
      </c>
      <c r="J39" s="41" t="s">
        <v>126</v>
      </c>
      <c r="K39" s="41">
        <v>0</v>
      </c>
    </row>
    <row r="40" spans="1:11" x14ac:dyDescent="0.3">
      <c r="A40" s="2" t="s">
        <v>3</v>
      </c>
      <c r="B40" s="3" t="s">
        <v>102</v>
      </c>
      <c r="C40" s="3" t="s">
        <v>112</v>
      </c>
      <c r="D40" s="3" t="s">
        <v>80</v>
      </c>
      <c r="E40" s="41">
        <v>101</v>
      </c>
      <c r="F40" s="41">
        <v>0</v>
      </c>
      <c r="G40" s="41" t="s">
        <v>116</v>
      </c>
      <c r="H40" s="41">
        <v>58</v>
      </c>
      <c r="I40" s="41">
        <f>10791+1589</f>
        <v>12380</v>
      </c>
      <c r="J40" s="41">
        <f>5750+477</f>
        <v>6227</v>
      </c>
      <c r="K40" s="41">
        <v>7</v>
      </c>
    </row>
    <row r="41" spans="1:11" x14ac:dyDescent="0.3">
      <c r="A41" s="2" t="s">
        <v>6</v>
      </c>
      <c r="B41" s="3" t="s">
        <v>102</v>
      </c>
      <c r="C41" s="3" t="s">
        <v>77</v>
      </c>
      <c r="D41" s="3" t="s">
        <v>74</v>
      </c>
      <c r="E41" s="41">
        <v>0</v>
      </c>
      <c r="F41" s="41">
        <v>86</v>
      </c>
      <c r="G41" s="41">
        <v>0</v>
      </c>
      <c r="H41" s="41">
        <v>0</v>
      </c>
      <c r="I41" s="41">
        <v>24649</v>
      </c>
      <c r="J41" s="41">
        <v>3866</v>
      </c>
      <c r="K41" s="41">
        <v>0</v>
      </c>
    </row>
    <row r="42" spans="1:11" x14ac:dyDescent="0.3">
      <c r="A42" s="2" t="s">
        <v>7</v>
      </c>
      <c r="B42" s="3" t="s">
        <v>102</v>
      </c>
      <c r="C42" s="3" t="s">
        <v>79</v>
      </c>
      <c r="D42" s="3" t="s">
        <v>74</v>
      </c>
      <c r="E42" s="41">
        <v>0</v>
      </c>
      <c r="F42" s="41">
        <v>0</v>
      </c>
      <c r="G42" s="41">
        <v>0</v>
      </c>
      <c r="H42" s="41">
        <v>0</v>
      </c>
      <c r="I42" s="41">
        <v>0</v>
      </c>
      <c r="J42" s="41">
        <v>0</v>
      </c>
      <c r="K42" s="41">
        <v>0</v>
      </c>
    </row>
    <row r="43" spans="1:11" x14ac:dyDescent="0.3">
      <c r="A43" s="2" t="s">
        <v>9</v>
      </c>
      <c r="B43" s="3" t="s">
        <v>102</v>
      </c>
      <c r="C43" s="3" t="s">
        <v>79</v>
      </c>
      <c r="D43" s="3" t="s">
        <v>74</v>
      </c>
      <c r="E43" s="41">
        <v>31</v>
      </c>
      <c r="F43" s="41">
        <v>0</v>
      </c>
      <c r="G43" s="41">
        <v>0</v>
      </c>
      <c r="H43" s="41">
        <v>16</v>
      </c>
      <c r="I43" s="41">
        <v>9191</v>
      </c>
      <c r="J43" s="41">
        <v>3948</v>
      </c>
      <c r="K43" s="41">
        <v>1</v>
      </c>
    </row>
    <row r="44" spans="1:11" ht="20.6" x14ac:dyDescent="0.3">
      <c r="A44" s="2" t="s">
        <v>909</v>
      </c>
      <c r="B44" s="3" t="s">
        <v>102</v>
      </c>
      <c r="C44" s="3" t="s">
        <v>75</v>
      </c>
      <c r="D44" s="3" t="s">
        <v>74</v>
      </c>
      <c r="E44" s="41">
        <v>72</v>
      </c>
      <c r="F44" s="41">
        <v>71</v>
      </c>
      <c r="G44" s="41">
        <v>0</v>
      </c>
      <c r="H44" s="41">
        <v>27</v>
      </c>
      <c r="I44" s="41">
        <f>35283+14708</f>
        <v>49991</v>
      </c>
      <c r="J44" s="41" t="s">
        <v>126</v>
      </c>
      <c r="K44" s="41">
        <v>24</v>
      </c>
    </row>
    <row r="45" spans="1:11" ht="17.25" customHeight="1" x14ac:dyDescent="0.3">
      <c r="A45" s="2" t="s">
        <v>21</v>
      </c>
      <c r="B45" s="3" t="s">
        <v>102</v>
      </c>
      <c r="C45" s="3" t="s">
        <v>76</v>
      </c>
      <c r="D45" s="3" t="s">
        <v>74</v>
      </c>
      <c r="E45" s="41">
        <v>335</v>
      </c>
      <c r="F45" s="41">
        <v>8</v>
      </c>
      <c r="G45" s="41">
        <v>0</v>
      </c>
      <c r="H45" s="41">
        <v>86</v>
      </c>
      <c r="I45" s="41">
        <f>59532+841</f>
        <v>60373</v>
      </c>
      <c r="J45" s="41">
        <f>8764+797</f>
        <v>9561</v>
      </c>
      <c r="K45" s="41">
        <v>8</v>
      </c>
    </row>
    <row r="46" spans="1:11" ht="19.5" customHeight="1" x14ac:dyDescent="0.3">
      <c r="A46" s="2" t="s">
        <v>22</v>
      </c>
      <c r="B46" s="3" t="s">
        <v>102</v>
      </c>
      <c r="C46" s="3" t="s">
        <v>117</v>
      </c>
      <c r="D46" s="3" t="s">
        <v>74</v>
      </c>
      <c r="E46" s="41">
        <v>234</v>
      </c>
      <c r="F46" s="41">
        <v>0</v>
      </c>
      <c r="G46" s="41">
        <v>0</v>
      </c>
      <c r="H46" s="41">
        <v>104</v>
      </c>
      <c r="I46" s="41">
        <v>62037</v>
      </c>
      <c r="J46" s="41" t="s">
        <v>126</v>
      </c>
      <c r="K46" s="41">
        <v>40</v>
      </c>
    </row>
    <row r="47" spans="1:11" ht="33" customHeight="1" x14ac:dyDescent="0.3">
      <c r="A47" s="2" t="s">
        <v>914</v>
      </c>
      <c r="B47" s="3" t="s">
        <v>102</v>
      </c>
      <c r="C47" s="3" t="s">
        <v>75</v>
      </c>
      <c r="D47" s="3" t="s">
        <v>74</v>
      </c>
      <c r="E47" s="41">
        <v>154</v>
      </c>
      <c r="F47" s="41">
        <v>1</v>
      </c>
      <c r="G47" s="41">
        <v>0</v>
      </c>
      <c r="H47" s="41">
        <v>135</v>
      </c>
      <c r="I47" s="41">
        <f>9818+48</f>
        <v>9866</v>
      </c>
      <c r="J47" s="41">
        <f>6617+15</f>
        <v>6632</v>
      </c>
      <c r="K47" s="41">
        <v>48</v>
      </c>
    </row>
    <row r="48" spans="1:11" x14ac:dyDescent="0.3">
      <c r="A48" s="2" t="s">
        <v>62</v>
      </c>
      <c r="B48" s="3" t="s">
        <v>102</v>
      </c>
      <c r="C48" s="3" t="s">
        <v>76</v>
      </c>
      <c r="D48" s="3" t="s">
        <v>74</v>
      </c>
      <c r="E48" s="41">
        <v>74</v>
      </c>
      <c r="F48" s="41">
        <v>12</v>
      </c>
      <c r="G48" s="41">
        <v>0</v>
      </c>
      <c r="H48" s="41">
        <f>41+9</f>
        <v>50</v>
      </c>
      <c r="I48" s="41">
        <f>3748+374</f>
        <v>4122</v>
      </c>
      <c r="J48" s="41">
        <f>2277+49</f>
        <v>2326</v>
      </c>
      <c r="K48" s="41">
        <v>0</v>
      </c>
    </row>
    <row r="49" spans="1:11" ht="18.75" customHeight="1" x14ac:dyDescent="0.3">
      <c r="A49" s="2" t="s">
        <v>50</v>
      </c>
      <c r="B49" s="3" t="s">
        <v>102</v>
      </c>
      <c r="C49" s="3" t="s">
        <v>118</v>
      </c>
      <c r="D49" s="3" t="s">
        <v>74</v>
      </c>
      <c r="E49" s="41">
        <v>618</v>
      </c>
      <c r="F49" s="41">
        <v>62</v>
      </c>
      <c r="G49" s="41">
        <v>0</v>
      </c>
      <c r="H49" s="41">
        <v>336</v>
      </c>
      <c r="I49" s="41">
        <f>54767+17322</f>
        <v>72089</v>
      </c>
      <c r="J49" s="41">
        <f>19285+5439</f>
        <v>24724</v>
      </c>
      <c r="K49" s="41">
        <v>1</v>
      </c>
    </row>
    <row r="50" spans="1:11" ht="21" customHeight="1" x14ac:dyDescent="0.3">
      <c r="A50" s="2" t="s">
        <v>53</v>
      </c>
      <c r="B50" s="3" t="s">
        <v>102</v>
      </c>
      <c r="C50" s="3" t="s">
        <v>76</v>
      </c>
      <c r="D50" s="3" t="s">
        <v>74</v>
      </c>
      <c r="E50" s="41">
        <v>254</v>
      </c>
      <c r="F50" s="41">
        <v>41</v>
      </c>
      <c r="G50" s="41" t="s">
        <v>116</v>
      </c>
      <c r="H50" s="41">
        <f>254+41</f>
        <v>295</v>
      </c>
      <c r="I50" s="41">
        <f>7048+41</f>
        <v>7089</v>
      </c>
      <c r="J50" s="41">
        <f>5963+41</f>
        <v>6004</v>
      </c>
      <c r="K50" s="41">
        <v>10</v>
      </c>
    </row>
    <row r="51" spans="1:11" ht="20.6" x14ac:dyDescent="0.3">
      <c r="A51" s="2" t="s">
        <v>129</v>
      </c>
      <c r="B51" s="3" t="s">
        <v>114</v>
      </c>
      <c r="C51" s="3" t="s">
        <v>119</v>
      </c>
      <c r="D51" s="3" t="s">
        <v>74</v>
      </c>
      <c r="E51" s="41">
        <v>494</v>
      </c>
      <c r="F51" s="41">
        <v>1179</v>
      </c>
      <c r="G51" s="41">
        <v>42</v>
      </c>
      <c r="H51" s="41">
        <v>78</v>
      </c>
      <c r="I51" s="41">
        <f>27141+90600+2433</f>
        <v>120174</v>
      </c>
      <c r="J51" s="41">
        <v>2918</v>
      </c>
      <c r="K51" s="41">
        <v>30</v>
      </c>
    </row>
    <row r="52" spans="1:11" x14ac:dyDescent="0.3">
      <c r="A52" s="2" t="s">
        <v>42</v>
      </c>
      <c r="B52" s="3" t="s">
        <v>103</v>
      </c>
      <c r="C52" s="3" t="s">
        <v>118</v>
      </c>
      <c r="D52" s="3" t="s">
        <v>74</v>
      </c>
      <c r="E52" s="41">
        <v>47</v>
      </c>
      <c r="F52" s="41">
        <v>842</v>
      </c>
      <c r="G52" s="41">
        <v>6</v>
      </c>
      <c r="H52" s="41">
        <f>7+6+654</f>
        <v>667</v>
      </c>
      <c r="I52" s="41">
        <f>1633+300+40085</f>
        <v>42018</v>
      </c>
      <c r="J52" s="41">
        <f>84+300+35959</f>
        <v>36343</v>
      </c>
      <c r="K52" s="41">
        <v>1</v>
      </c>
    </row>
    <row r="53" spans="1:11" x14ac:dyDescent="0.3">
      <c r="A53" s="2" t="s">
        <v>33</v>
      </c>
      <c r="B53" s="3" t="s">
        <v>104</v>
      </c>
      <c r="C53" s="3" t="s">
        <v>75</v>
      </c>
      <c r="D53" s="3" t="s">
        <v>80</v>
      </c>
      <c r="E53" s="41">
        <v>139</v>
      </c>
      <c r="F53" s="41">
        <v>0</v>
      </c>
      <c r="G53" s="41">
        <v>28</v>
      </c>
      <c r="H53" s="41">
        <f>21+20</f>
        <v>41</v>
      </c>
      <c r="I53" s="41">
        <f>11839+4273</f>
        <v>16112</v>
      </c>
      <c r="J53" s="41">
        <f>1701+3200</f>
        <v>4901</v>
      </c>
      <c r="K53" s="41">
        <v>20</v>
      </c>
    </row>
    <row r="54" spans="1:11" x14ac:dyDescent="0.3">
      <c r="A54" s="2" t="s">
        <v>54</v>
      </c>
      <c r="B54" s="3" t="s">
        <v>104</v>
      </c>
      <c r="C54" s="3" t="s">
        <v>76</v>
      </c>
      <c r="D54" s="3" t="s">
        <v>74</v>
      </c>
      <c r="E54" s="41">
        <v>0</v>
      </c>
      <c r="F54" s="41">
        <v>3</v>
      </c>
      <c r="G54" s="41">
        <v>0</v>
      </c>
      <c r="H54" s="41">
        <v>0</v>
      </c>
      <c r="I54" s="41">
        <v>1128</v>
      </c>
      <c r="J54" s="41">
        <v>0</v>
      </c>
      <c r="K54" s="41">
        <v>5</v>
      </c>
    </row>
    <row r="55" spans="1:11" x14ac:dyDescent="0.3">
      <c r="A55" s="2" t="s">
        <v>49</v>
      </c>
      <c r="B55" s="3" t="s">
        <v>105</v>
      </c>
      <c r="C55" s="3" t="s">
        <v>120</v>
      </c>
      <c r="D55" s="3" t="s">
        <v>74</v>
      </c>
      <c r="E55" s="41">
        <v>80</v>
      </c>
      <c r="F55" s="41">
        <v>12</v>
      </c>
      <c r="G55" s="41">
        <v>1</v>
      </c>
      <c r="H55" s="41">
        <f>16+1+12</f>
        <v>29</v>
      </c>
      <c r="I55" s="41">
        <f>8298+250+694</f>
        <v>9242</v>
      </c>
      <c r="J55" s="41">
        <f>2108+694</f>
        <v>2802</v>
      </c>
      <c r="K55" s="41">
        <v>1</v>
      </c>
    </row>
    <row r="56" spans="1:11" x14ac:dyDescent="0.3">
      <c r="A56" s="7" t="s">
        <v>56</v>
      </c>
      <c r="B56" s="3" t="s">
        <v>105</v>
      </c>
      <c r="C56" s="3" t="s">
        <v>76</v>
      </c>
      <c r="D56" s="3" t="s">
        <v>74</v>
      </c>
      <c r="E56" s="41">
        <v>40</v>
      </c>
      <c r="F56" s="41">
        <v>0</v>
      </c>
      <c r="G56" s="41">
        <v>0</v>
      </c>
      <c r="H56" s="41">
        <v>31</v>
      </c>
      <c r="I56" s="41">
        <v>2300</v>
      </c>
      <c r="J56" s="41">
        <v>1850</v>
      </c>
      <c r="K56" s="41">
        <v>4</v>
      </c>
    </row>
    <row r="57" spans="1:11" ht="20.6" x14ac:dyDescent="0.3">
      <c r="A57" s="2" t="s">
        <v>37</v>
      </c>
      <c r="B57" s="3" t="s">
        <v>106</v>
      </c>
      <c r="C57" s="3" t="s">
        <v>121</v>
      </c>
      <c r="D57" s="3" t="s">
        <v>74</v>
      </c>
      <c r="E57" s="41">
        <v>75</v>
      </c>
      <c r="F57" s="41">
        <v>116</v>
      </c>
      <c r="G57" s="41">
        <v>65</v>
      </c>
      <c r="H57" s="41">
        <f>21+37</f>
        <v>58</v>
      </c>
      <c r="I57" s="41">
        <f>8306+5073+5302</f>
        <v>18681</v>
      </c>
      <c r="J57" s="41">
        <f>2014+4+1388</f>
        <v>3406</v>
      </c>
      <c r="K57" s="41">
        <v>8</v>
      </c>
    </row>
    <row r="58" spans="1:11" x14ac:dyDescent="0.3">
      <c r="A58" s="2" t="s">
        <v>57</v>
      </c>
      <c r="B58" s="3" t="s">
        <v>106</v>
      </c>
      <c r="C58" s="3" t="s">
        <v>76</v>
      </c>
      <c r="D58" s="3" t="s">
        <v>74</v>
      </c>
      <c r="E58" s="41">
        <v>129</v>
      </c>
      <c r="F58" s="41">
        <v>67</v>
      </c>
      <c r="G58" s="41">
        <v>8</v>
      </c>
      <c r="H58" s="41">
        <f>69+5+2</f>
        <v>76</v>
      </c>
      <c r="I58" s="41">
        <f>5921+237+3185</f>
        <v>9343</v>
      </c>
      <c r="J58" s="41">
        <f>1491+117+24</f>
        <v>1632</v>
      </c>
      <c r="K58" s="41">
        <v>6</v>
      </c>
    </row>
    <row r="59" spans="1:11" x14ac:dyDescent="0.3">
      <c r="A59" s="2" t="s">
        <v>43</v>
      </c>
      <c r="B59" s="3" t="s">
        <v>107</v>
      </c>
      <c r="C59" s="3" t="s">
        <v>118</v>
      </c>
      <c r="D59" s="3" t="s">
        <v>80</v>
      </c>
      <c r="E59" s="41">
        <v>400</v>
      </c>
      <c r="F59" s="41">
        <v>104</v>
      </c>
      <c r="G59" s="41">
        <v>35</v>
      </c>
      <c r="H59" s="41">
        <f>166+11+49</f>
        <v>226</v>
      </c>
      <c r="I59" s="41">
        <f>19748+3605+5689</f>
        <v>29042</v>
      </c>
      <c r="J59" s="41">
        <f>8233+906+2118</f>
        <v>11257</v>
      </c>
      <c r="K59" s="41">
        <v>2</v>
      </c>
    </row>
    <row r="60" spans="1:11" x14ac:dyDescent="0.3">
      <c r="A60" s="2" t="s">
        <v>58</v>
      </c>
      <c r="B60" s="3" t="s">
        <v>108</v>
      </c>
      <c r="C60" s="3" t="s">
        <v>76</v>
      </c>
      <c r="D60" s="3" t="s">
        <v>74</v>
      </c>
      <c r="E60" s="41">
        <v>120</v>
      </c>
      <c r="F60" s="41">
        <v>32</v>
      </c>
      <c r="G60" s="41">
        <v>18</v>
      </c>
      <c r="H60" s="41">
        <f>25</f>
        <v>25</v>
      </c>
      <c r="I60" s="41">
        <f>7827+706+1097</f>
        <v>9630</v>
      </c>
      <c r="J60" s="41">
        <f>1456+0</f>
        <v>1456</v>
      </c>
      <c r="K60" s="41">
        <v>8</v>
      </c>
    </row>
    <row r="61" spans="1:11" ht="20.6" x14ac:dyDescent="0.3">
      <c r="A61" s="2" t="s">
        <v>59</v>
      </c>
      <c r="B61" s="3" t="s">
        <v>108</v>
      </c>
      <c r="C61" s="3" t="s">
        <v>85</v>
      </c>
      <c r="D61" s="3" t="s">
        <v>74</v>
      </c>
      <c r="E61" s="41">
        <v>265</v>
      </c>
      <c r="F61" s="41">
        <v>0</v>
      </c>
      <c r="G61" s="41">
        <v>6</v>
      </c>
      <c r="H61" s="41">
        <v>78</v>
      </c>
      <c r="I61" s="41">
        <v>11087</v>
      </c>
      <c r="J61" s="41">
        <f>4585+0</f>
        <v>4585</v>
      </c>
      <c r="K61" s="41">
        <v>8</v>
      </c>
    </row>
    <row r="62" spans="1:11" ht="20.6" x14ac:dyDescent="0.3">
      <c r="A62" s="2" t="s">
        <v>60</v>
      </c>
      <c r="B62" s="3" t="s">
        <v>108</v>
      </c>
      <c r="C62" s="3" t="s">
        <v>81</v>
      </c>
      <c r="D62" s="3" t="s">
        <v>74</v>
      </c>
      <c r="E62" s="41">
        <v>139</v>
      </c>
      <c r="F62" s="41">
        <v>0</v>
      </c>
      <c r="G62" s="41">
        <v>5</v>
      </c>
      <c r="H62" s="41">
        <v>40</v>
      </c>
      <c r="I62" s="41">
        <v>10616</v>
      </c>
      <c r="J62" s="41">
        <v>1456</v>
      </c>
      <c r="K62" s="41">
        <v>34</v>
      </c>
    </row>
    <row r="63" spans="1:11" ht="20.6" x14ac:dyDescent="0.3">
      <c r="A63" s="2" t="s">
        <v>1</v>
      </c>
      <c r="B63" s="3" t="s">
        <v>109</v>
      </c>
      <c r="C63" s="3" t="s">
        <v>125</v>
      </c>
      <c r="D63" s="3" t="s">
        <v>74</v>
      </c>
      <c r="E63" s="41">
        <v>81</v>
      </c>
      <c r="F63" s="41">
        <v>9</v>
      </c>
      <c r="G63" s="41">
        <v>0</v>
      </c>
      <c r="H63" s="41">
        <v>12</v>
      </c>
      <c r="I63" s="41">
        <f>5863+453</f>
        <v>6316</v>
      </c>
      <c r="J63" s="41">
        <f>2412+50</f>
        <v>2462</v>
      </c>
      <c r="K63" s="41">
        <v>1</v>
      </c>
    </row>
    <row r="64" spans="1:11" x14ac:dyDescent="0.3">
      <c r="A64" s="2" t="s">
        <v>11</v>
      </c>
      <c r="B64" s="3" t="s">
        <v>109</v>
      </c>
      <c r="C64" s="3" t="s">
        <v>76</v>
      </c>
      <c r="D64" s="3" t="s">
        <v>74</v>
      </c>
      <c r="E64" s="41">
        <v>57</v>
      </c>
      <c r="F64" s="41">
        <v>25</v>
      </c>
      <c r="G64" s="41">
        <v>0</v>
      </c>
      <c r="H64" s="41">
        <v>0</v>
      </c>
      <c r="I64" s="41">
        <f>3666+919</f>
        <v>4585</v>
      </c>
      <c r="J64" s="41">
        <v>76</v>
      </c>
      <c r="K64" s="41">
        <v>22</v>
      </c>
    </row>
    <row r="65" spans="1:11" x14ac:dyDescent="0.3">
      <c r="A65" s="2" t="s">
        <v>14</v>
      </c>
      <c r="B65" s="3" t="s">
        <v>109</v>
      </c>
      <c r="C65" s="3" t="s">
        <v>75</v>
      </c>
      <c r="D65" s="3" t="s">
        <v>74</v>
      </c>
      <c r="E65" s="41">
        <v>11</v>
      </c>
      <c r="F65" s="41">
        <v>0</v>
      </c>
      <c r="G65" s="41">
        <v>0</v>
      </c>
      <c r="H65" s="41">
        <v>0</v>
      </c>
      <c r="I65" s="41">
        <v>1735</v>
      </c>
      <c r="J65" s="41">
        <v>65</v>
      </c>
      <c r="K65" s="41">
        <v>3</v>
      </c>
    </row>
    <row r="66" spans="1:11" x14ac:dyDescent="0.3">
      <c r="A66" s="2" t="s">
        <v>15</v>
      </c>
      <c r="B66" s="3" t="s">
        <v>109</v>
      </c>
      <c r="C66" s="3" t="s">
        <v>76</v>
      </c>
      <c r="D66" s="3" t="s">
        <v>74</v>
      </c>
      <c r="E66" s="41">
        <v>185</v>
      </c>
      <c r="F66" s="41">
        <v>0</v>
      </c>
      <c r="G66" s="41">
        <v>3</v>
      </c>
      <c r="H66" s="41">
        <v>24</v>
      </c>
      <c r="I66" s="41">
        <f>24702+259</f>
        <v>24961</v>
      </c>
      <c r="J66" s="41">
        <f>1387+125</f>
        <v>1512</v>
      </c>
      <c r="K66" s="41">
        <v>0</v>
      </c>
    </row>
    <row r="67" spans="1:11" x14ac:dyDescent="0.3">
      <c r="A67" s="2" t="s">
        <v>16</v>
      </c>
      <c r="B67" s="3" t="s">
        <v>109</v>
      </c>
      <c r="C67" s="3" t="s">
        <v>75</v>
      </c>
      <c r="D67" s="3" t="s">
        <v>74</v>
      </c>
      <c r="E67" s="41">
        <v>94</v>
      </c>
      <c r="F67" s="41">
        <v>2</v>
      </c>
      <c r="G67" s="41">
        <v>0</v>
      </c>
      <c r="H67" s="41">
        <v>19</v>
      </c>
      <c r="I67" s="41">
        <f>25997+326</f>
        <v>26323</v>
      </c>
      <c r="J67" s="41">
        <f>10125+326</f>
        <v>10451</v>
      </c>
      <c r="K67" s="41">
        <v>49</v>
      </c>
    </row>
    <row r="68" spans="1:11" ht="20.6" x14ac:dyDescent="0.3">
      <c r="A68" s="2" t="s">
        <v>17</v>
      </c>
      <c r="B68" s="3" t="s">
        <v>109</v>
      </c>
      <c r="C68" s="3" t="s">
        <v>78</v>
      </c>
      <c r="D68" s="3" t="s">
        <v>80</v>
      </c>
      <c r="E68" s="41">
        <v>0</v>
      </c>
      <c r="F68" s="41">
        <v>2</v>
      </c>
      <c r="G68" s="41">
        <v>0</v>
      </c>
      <c r="H68" s="41">
        <v>0</v>
      </c>
      <c r="I68" s="41">
        <v>80</v>
      </c>
      <c r="J68" s="41">
        <v>0</v>
      </c>
      <c r="K68" s="41">
        <v>0</v>
      </c>
    </row>
    <row r="69" spans="1:11" x14ac:dyDescent="0.3">
      <c r="A69" s="2" t="s">
        <v>18</v>
      </c>
      <c r="B69" s="3" t="s">
        <v>109</v>
      </c>
      <c r="C69" s="3" t="s">
        <v>124</v>
      </c>
      <c r="D69" s="3" t="s">
        <v>74</v>
      </c>
      <c r="E69" s="41">
        <v>107</v>
      </c>
      <c r="F69" s="41">
        <v>0</v>
      </c>
      <c r="G69" s="41">
        <v>0</v>
      </c>
      <c r="H69" s="41">
        <v>47</v>
      </c>
      <c r="I69" s="41">
        <v>54482</v>
      </c>
      <c r="J69" s="41">
        <v>8615</v>
      </c>
      <c r="K69" s="41">
        <v>74</v>
      </c>
    </row>
    <row r="70" spans="1:11" x14ac:dyDescent="0.3">
      <c r="A70" s="2" t="s">
        <v>39</v>
      </c>
      <c r="B70" s="3" t="s">
        <v>109</v>
      </c>
      <c r="C70" s="3" t="s">
        <v>78</v>
      </c>
      <c r="D70" s="3" t="s">
        <v>74</v>
      </c>
      <c r="E70" s="41">
        <v>397</v>
      </c>
      <c r="F70" s="41">
        <v>9</v>
      </c>
      <c r="G70" s="41">
        <v>23</v>
      </c>
      <c r="H70" s="41">
        <f>397+23+8</f>
        <v>428</v>
      </c>
      <c r="I70" s="41">
        <f>12303+500+321</f>
        <v>13124</v>
      </c>
      <c r="J70" s="41">
        <f>10721+447+157</f>
        <v>11325</v>
      </c>
      <c r="K70" s="41">
        <v>5</v>
      </c>
    </row>
    <row r="71" spans="1:11" ht="20.6" x14ac:dyDescent="0.3">
      <c r="A71" s="2" t="s">
        <v>55</v>
      </c>
      <c r="B71" s="3" t="s">
        <v>109</v>
      </c>
      <c r="C71" s="3" t="s">
        <v>119</v>
      </c>
      <c r="D71" s="3" t="s">
        <v>74</v>
      </c>
      <c r="E71" s="41">
        <v>36</v>
      </c>
      <c r="F71" s="41">
        <v>61</v>
      </c>
      <c r="G71" s="41">
        <v>7</v>
      </c>
      <c r="H71" s="41">
        <f>24+1+25</f>
        <v>50</v>
      </c>
      <c r="I71" s="41">
        <f>3379+629+10291</f>
        <v>14299</v>
      </c>
      <c r="J71" s="41">
        <f>1775+110+3984</f>
        <v>5869</v>
      </c>
      <c r="K71" s="41">
        <v>2</v>
      </c>
    </row>
    <row r="72" spans="1:11" x14ac:dyDescent="0.3">
      <c r="A72" s="2" t="s">
        <v>23</v>
      </c>
      <c r="B72" s="3" t="s">
        <v>110</v>
      </c>
      <c r="C72" s="3" t="s">
        <v>85</v>
      </c>
      <c r="D72" s="3" t="s">
        <v>74</v>
      </c>
      <c r="E72" s="41">
        <v>31</v>
      </c>
      <c r="F72" s="41">
        <v>4</v>
      </c>
      <c r="G72" s="41">
        <v>4</v>
      </c>
      <c r="H72" s="41">
        <v>24</v>
      </c>
      <c r="I72" s="41">
        <f>5748+6312+240</f>
        <v>12300</v>
      </c>
      <c r="J72" s="41">
        <f>2507+169</f>
        <v>2676</v>
      </c>
      <c r="K72" s="41">
        <v>23</v>
      </c>
    </row>
    <row r="73" spans="1:11" x14ac:dyDescent="0.3">
      <c r="A73" s="2" t="s">
        <v>24</v>
      </c>
      <c r="B73" s="3" t="s">
        <v>110</v>
      </c>
      <c r="C73" s="3" t="s">
        <v>76</v>
      </c>
      <c r="D73" s="3" t="s">
        <v>74</v>
      </c>
      <c r="E73" s="41">
        <v>132</v>
      </c>
      <c r="F73" s="41">
        <v>2</v>
      </c>
      <c r="G73" s="41">
        <v>0</v>
      </c>
      <c r="H73" s="41">
        <v>98</v>
      </c>
      <c r="I73" s="41">
        <f>6637+92</f>
        <v>6729</v>
      </c>
      <c r="J73" s="41">
        <f>4040+21</f>
        <v>4061</v>
      </c>
      <c r="K73" s="41">
        <v>2</v>
      </c>
    </row>
    <row r="74" spans="1:11" x14ac:dyDescent="0.3">
      <c r="A74" s="2" t="s">
        <v>38</v>
      </c>
      <c r="B74" s="3" t="s">
        <v>110</v>
      </c>
      <c r="C74" s="3" t="s">
        <v>79</v>
      </c>
      <c r="D74" s="3" t="s">
        <v>74</v>
      </c>
      <c r="E74" s="41">
        <v>0</v>
      </c>
      <c r="F74" s="41">
        <v>0</v>
      </c>
      <c r="G74" s="41">
        <v>0</v>
      </c>
      <c r="H74" s="41">
        <v>0</v>
      </c>
      <c r="I74" s="41">
        <v>0</v>
      </c>
      <c r="J74" s="41">
        <v>0</v>
      </c>
      <c r="K74" s="41">
        <v>0</v>
      </c>
    </row>
    <row r="75" spans="1:11" x14ac:dyDescent="0.3">
      <c r="A75" s="7" t="s">
        <v>47</v>
      </c>
      <c r="B75" s="3" t="s">
        <v>110</v>
      </c>
      <c r="C75" s="3" t="s">
        <v>76</v>
      </c>
      <c r="D75" s="3" t="s">
        <v>74</v>
      </c>
      <c r="E75" s="41">
        <v>7</v>
      </c>
      <c r="F75" s="41">
        <v>0</v>
      </c>
      <c r="G75" s="41">
        <v>0</v>
      </c>
      <c r="H75" s="41">
        <v>0</v>
      </c>
      <c r="I75" s="41">
        <v>168</v>
      </c>
      <c r="J75" s="41">
        <v>1</v>
      </c>
      <c r="K75" s="41">
        <v>27</v>
      </c>
    </row>
    <row r="76" spans="1:11" ht="20.6" x14ac:dyDescent="0.3">
      <c r="A76" s="2" t="s">
        <v>44</v>
      </c>
      <c r="B76" s="3" t="s">
        <v>111</v>
      </c>
      <c r="C76" s="3" t="s">
        <v>122</v>
      </c>
      <c r="D76" s="3" t="s">
        <v>74</v>
      </c>
      <c r="E76" s="41">
        <v>253</v>
      </c>
      <c r="F76" s="41">
        <v>5</v>
      </c>
      <c r="G76" s="41">
        <v>3</v>
      </c>
      <c r="H76" s="41">
        <v>104</v>
      </c>
      <c r="I76" s="41">
        <f>33348+112+139</f>
        <v>33599</v>
      </c>
      <c r="J76" s="41">
        <f>9082+51+35</f>
        <v>9168</v>
      </c>
      <c r="K76" s="41">
        <v>59</v>
      </c>
    </row>
    <row r="77" spans="1:11" x14ac:dyDescent="0.3">
      <c r="A77" s="2" t="s">
        <v>61</v>
      </c>
      <c r="B77" s="3" t="s">
        <v>111</v>
      </c>
      <c r="C77" s="3" t="s">
        <v>75</v>
      </c>
      <c r="D77" s="3" t="s">
        <v>80</v>
      </c>
      <c r="E77" s="41">
        <v>309</v>
      </c>
      <c r="F77" s="41">
        <v>19</v>
      </c>
      <c r="G77" s="41">
        <v>3</v>
      </c>
      <c r="H77" s="41">
        <f>124+1+19</f>
        <v>144</v>
      </c>
      <c r="I77" s="41">
        <f>17614+474+1370</f>
        <v>19458</v>
      </c>
      <c r="J77" s="41">
        <f>6639+300+1240</f>
        <v>8179</v>
      </c>
      <c r="K77" s="41">
        <v>25</v>
      </c>
    </row>
    <row r="78" spans="1:11" s="28" customFormat="1" ht="10.3" x14ac:dyDescent="0.3">
      <c r="A78" s="42" t="s">
        <v>134</v>
      </c>
      <c r="E78" s="28">
        <f t="shared" ref="E78:K78" si="0">SUM(E4:E77)</f>
        <v>9385</v>
      </c>
      <c r="F78" s="28">
        <f t="shared" si="0"/>
        <v>3748</v>
      </c>
      <c r="G78" s="28">
        <f t="shared" si="0"/>
        <v>624</v>
      </c>
      <c r="H78" s="28">
        <f t="shared" si="0"/>
        <v>6209</v>
      </c>
      <c r="I78" s="28">
        <f t="shared" si="0"/>
        <v>1216432</v>
      </c>
      <c r="J78" s="28">
        <f t="shared" si="0"/>
        <v>346364</v>
      </c>
      <c r="K78" s="28">
        <f t="shared" si="0"/>
        <v>1330</v>
      </c>
    </row>
    <row r="79" spans="1:11" x14ac:dyDescent="0.3">
      <c r="A79" s="25" t="s">
        <v>910</v>
      </c>
    </row>
    <row r="80" spans="1:11" x14ac:dyDescent="0.3">
      <c r="A80" s="25" t="s">
        <v>127</v>
      </c>
    </row>
    <row r="81" spans="1:1" x14ac:dyDescent="0.3">
      <c r="A81" s="25" t="s">
        <v>128</v>
      </c>
    </row>
    <row r="83" spans="1:1" x14ac:dyDescent="0.3">
      <c r="A83" s="55" t="s">
        <v>866</v>
      </c>
    </row>
  </sheetData>
  <phoneticPr fontId="26" type="noConversion"/>
  <hyperlinks>
    <hyperlink ref="A83" location="Innehåll!A1" display="Till innehållsförteckning" xr:uid="{A17F59E5-7641-4F94-A56F-158FB506EC4B}"/>
  </hyperlinks>
  <pageMargins left="0.7" right="0.7" top="0.75" bottom="0.75" header="0.3" footer="0.3"/>
  <pageSetup paperSize="9" orientation="landscape"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4F131-9650-48AD-B359-C425DC9F3CBF}">
  <dimension ref="A1:D23"/>
  <sheetViews>
    <sheetView showGridLines="0" workbookViewId="0">
      <selection activeCell="F37" sqref="F37"/>
    </sheetView>
  </sheetViews>
  <sheetFormatPr defaultRowHeight="12.45" x14ac:dyDescent="0.3"/>
  <cols>
    <col min="1" max="1" width="10.3828125" customWidth="1"/>
    <col min="4" max="4" width="12.3828125" customWidth="1"/>
  </cols>
  <sheetData>
    <row r="1" spans="1:4" x14ac:dyDescent="0.3">
      <c r="A1" s="45" t="s">
        <v>901</v>
      </c>
    </row>
    <row r="2" spans="1:4" x14ac:dyDescent="0.3">
      <c r="A2" s="5" t="s">
        <v>855</v>
      </c>
    </row>
    <row r="3" spans="1:4" ht="262.5" customHeight="1" x14ac:dyDescent="0.3"/>
    <row r="4" spans="1:4" x14ac:dyDescent="0.3">
      <c r="A4" s="25" t="s">
        <v>243</v>
      </c>
    </row>
    <row r="6" spans="1:4" x14ac:dyDescent="0.3">
      <c r="A6" s="1" t="s">
        <v>179</v>
      </c>
      <c r="B6" s="1" t="s">
        <v>241</v>
      </c>
      <c r="C6" s="1" t="s">
        <v>242</v>
      </c>
      <c r="D6" s="1" t="s">
        <v>134</v>
      </c>
    </row>
    <row r="7" spans="1:4" x14ac:dyDescent="0.3">
      <c r="A7" s="53">
        <v>2019</v>
      </c>
      <c r="B7" s="41">
        <v>3136.18</v>
      </c>
      <c r="C7" s="41">
        <v>2794.28</v>
      </c>
      <c r="D7" s="41">
        <f>Tabell22[[#This Row],[kvinnor]]+Tabell22[[#This Row],[män]]</f>
        <v>5930.46</v>
      </c>
    </row>
    <row r="8" spans="1:4" ht="22.5" customHeight="1" x14ac:dyDescent="0.3">
      <c r="A8" s="53">
        <v>2020</v>
      </c>
      <c r="B8" s="41">
        <v>2457.6799999999998</v>
      </c>
      <c r="C8" s="41">
        <v>2194</v>
      </c>
      <c r="D8" s="41">
        <f>Tabell22[[#This Row],[kvinnor]]+Tabell22[[#This Row],[män]]</f>
        <v>4651.68</v>
      </c>
    </row>
    <row r="10" spans="1:4" x14ac:dyDescent="0.3">
      <c r="A10" s="66" t="s">
        <v>866</v>
      </c>
    </row>
    <row r="11" spans="1:4" x14ac:dyDescent="0.3">
      <c r="A11" s="5"/>
    </row>
    <row r="12" spans="1:4" x14ac:dyDescent="0.3">
      <c r="A12" s="5"/>
    </row>
    <row r="23" spans="2:2" x14ac:dyDescent="0.3">
      <c r="B23" s="60"/>
    </row>
  </sheetData>
  <hyperlinks>
    <hyperlink ref="A10" location="Innehåll!A1" display="Till innehållsförteckning" xr:uid="{5105F628-9545-4D57-9A2E-DA497C2D8AB7}"/>
  </hyperlink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71285-1D10-48F7-AFC1-16CCC5595CCF}">
  <dimension ref="A1:I22"/>
  <sheetViews>
    <sheetView showGridLines="0" zoomScaleNormal="100" workbookViewId="0">
      <selection activeCell="A11" sqref="A11"/>
    </sheetView>
  </sheetViews>
  <sheetFormatPr defaultRowHeight="12.45" x14ac:dyDescent="0.3"/>
  <cols>
    <col min="1" max="1" width="21.53515625" customWidth="1"/>
    <col min="2" max="2" width="8.69140625" customWidth="1"/>
    <col min="3" max="3" width="9.3828125" customWidth="1"/>
    <col min="4" max="4" width="9.15234375" customWidth="1"/>
    <col min="5" max="5" width="10.3046875" customWidth="1"/>
    <col min="6" max="6" width="11.3046875" customWidth="1"/>
    <col min="7" max="7" width="7.3046875" customWidth="1"/>
    <col min="8" max="9" width="6.53515625" customWidth="1"/>
    <col min="10" max="10" width="7" customWidth="1"/>
  </cols>
  <sheetData>
    <row r="1" spans="1:9" x14ac:dyDescent="0.3">
      <c r="A1" s="45" t="s">
        <v>887</v>
      </c>
      <c r="B1" s="1"/>
    </row>
    <row r="2" spans="1:9" x14ac:dyDescent="0.3">
      <c r="A2" s="1" t="s">
        <v>206</v>
      </c>
      <c r="B2" s="1" t="s">
        <v>207</v>
      </c>
      <c r="C2" s="1" t="s">
        <v>208</v>
      </c>
      <c r="D2" s="1" t="s">
        <v>209</v>
      </c>
      <c r="E2" s="1" t="s">
        <v>210</v>
      </c>
      <c r="F2" s="1" t="s">
        <v>211</v>
      </c>
      <c r="G2" s="1" t="s">
        <v>212</v>
      </c>
      <c r="H2" s="1" t="s">
        <v>213</v>
      </c>
      <c r="I2" s="1" t="s">
        <v>134</v>
      </c>
    </row>
    <row r="3" spans="1:9" x14ac:dyDescent="0.3">
      <c r="A3" s="2" t="s">
        <v>214</v>
      </c>
      <c r="B3" s="3"/>
      <c r="C3" s="3"/>
      <c r="D3" s="3"/>
      <c r="E3" s="3"/>
      <c r="F3" s="3"/>
      <c r="G3" s="3">
        <v>2</v>
      </c>
      <c r="H3" s="3"/>
      <c r="I3" s="3">
        <f>SUM(Tabell20[[#This Row],[Regional]:[Annan]])</f>
        <v>2</v>
      </c>
    </row>
    <row r="4" spans="1:9" x14ac:dyDescent="0.3">
      <c r="A4" s="2" t="s">
        <v>215</v>
      </c>
      <c r="B4" s="3">
        <v>13</v>
      </c>
      <c r="C4" s="3"/>
      <c r="D4" s="3">
        <v>8</v>
      </c>
      <c r="E4" s="3"/>
      <c r="F4" s="3"/>
      <c r="G4" s="3">
        <v>10</v>
      </c>
      <c r="H4" s="3"/>
      <c r="I4" s="3">
        <f>SUM(Tabell20[[#This Row],[Regional]:[Annan]])</f>
        <v>31</v>
      </c>
    </row>
    <row r="5" spans="1:9" x14ac:dyDescent="0.3">
      <c r="A5" s="2" t="s">
        <v>216</v>
      </c>
      <c r="B5" s="3"/>
      <c r="C5" s="3">
        <v>4</v>
      </c>
      <c r="D5" s="3"/>
      <c r="E5" s="3"/>
      <c r="F5" s="3">
        <v>1</v>
      </c>
      <c r="G5" s="3">
        <v>6</v>
      </c>
      <c r="H5" s="3">
        <v>2</v>
      </c>
      <c r="I5" s="3">
        <f>SUM(Tabell20[[#This Row],[Regional]:[Annan]])</f>
        <v>13</v>
      </c>
    </row>
    <row r="6" spans="1:9" ht="23.25" customHeight="1" x14ac:dyDescent="0.3">
      <c r="A6" s="2" t="s">
        <v>217</v>
      </c>
      <c r="B6" s="3"/>
      <c r="C6" s="3"/>
      <c r="D6" s="3">
        <v>3</v>
      </c>
      <c r="E6" s="3"/>
      <c r="F6" s="3"/>
      <c r="G6" s="3">
        <v>4</v>
      </c>
      <c r="H6" s="3"/>
      <c r="I6" s="3">
        <f>SUM(Tabell20[[#This Row],[Regional]:[Annan]])</f>
        <v>7</v>
      </c>
    </row>
    <row r="7" spans="1:9" x14ac:dyDescent="0.3">
      <c r="A7" s="2" t="s">
        <v>218</v>
      </c>
      <c r="B7" s="3" t="s">
        <v>203</v>
      </c>
      <c r="C7" s="3" t="s">
        <v>203</v>
      </c>
      <c r="D7" s="3">
        <v>5</v>
      </c>
      <c r="E7" s="3">
        <v>10</v>
      </c>
      <c r="F7" s="3">
        <v>1</v>
      </c>
      <c r="G7" s="3">
        <v>4</v>
      </c>
      <c r="H7" s="3">
        <v>1</v>
      </c>
      <c r="I7" s="3">
        <f>SUM(Tabell20[[#This Row],[Regional]:[Annan]])</f>
        <v>21</v>
      </c>
    </row>
    <row r="8" spans="1:9" x14ac:dyDescent="0.3">
      <c r="A8" s="33" t="s">
        <v>134</v>
      </c>
      <c r="B8" s="44">
        <v>13</v>
      </c>
      <c r="C8" s="44">
        <v>4</v>
      </c>
      <c r="D8" s="44">
        <v>16</v>
      </c>
      <c r="E8" s="44">
        <v>10</v>
      </c>
      <c r="F8" s="44">
        <v>2</v>
      </c>
      <c r="G8" s="44">
        <v>26</v>
      </c>
      <c r="H8" s="44">
        <v>3</v>
      </c>
      <c r="I8" s="44">
        <v>74</v>
      </c>
    </row>
    <row r="9" spans="1:9" x14ac:dyDescent="0.3">
      <c r="A9" s="25" t="s">
        <v>848</v>
      </c>
      <c r="B9" s="25"/>
    </row>
    <row r="10" spans="1:9" ht="15" customHeight="1" x14ac:dyDescent="0.3">
      <c r="A10" s="25"/>
      <c r="B10" s="25"/>
    </row>
    <row r="11" spans="1:9" x14ac:dyDescent="0.3">
      <c r="A11" s="55" t="s">
        <v>866</v>
      </c>
    </row>
    <row r="22" spans="2:2" x14ac:dyDescent="0.3">
      <c r="B22" s="60"/>
    </row>
  </sheetData>
  <hyperlinks>
    <hyperlink ref="A11" location="Innehåll!A1" display="Till innehållsförteckning" xr:uid="{93BBCEE0-F6ED-4B22-B0A9-34C595F1421E}"/>
  </hyperlinks>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DF409-62FF-4AEF-A753-907BF2F51C04}">
  <dimension ref="A1:C22"/>
  <sheetViews>
    <sheetView showGridLines="0" workbookViewId="0">
      <selection activeCell="A15" sqref="A15"/>
    </sheetView>
  </sheetViews>
  <sheetFormatPr defaultRowHeight="12.45" x14ac:dyDescent="0.3"/>
  <cols>
    <col min="1" max="1" width="18.15234375" customWidth="1"/>
    <col min="2" max="2" width="27.69140625" customWidth="1"/>
    <col min="3" max="3" width="28.15234375" customWidth="1"/>
    <col min="8" max="8" width="17" bestFit="1" customWidth="1"/>
    <col min="9" max="9" width="15.15234375" bestFit="1" customWidth="1"/>
    <col min="10" max="10" width="8.3828125" bestFit="1" customWidth="1"/>
  </cols>
  <sheetData>
    <row r="1" spans="1:3" x14ac:dyDescent="0.3">
      <c r="A1" s="45" t="s">
        <v>888</v>
      </c>
    </row>
    <row r="2" spans="1:3" x14ac:dyDescent="0.3">
      <c r="A2" s="48" t="s">
        <v>73</v>
      </c>
      <c r="B2" s="48" t="s">
        <v>130</v>
      </c>
      <c r="C2" s="48" t="s">
        <v>131</v>
      </c>
    </row>
    <row r="3" spans="1:3" x14ac:dyDescent="0.3">
      <c r="A3" s="9" t="s">
        <v>75</v>
      </c>
      <c r="B3" s="10">
        <v>18</v>
      </c>
      <c r="C3" s="14">
        <f>Tabell2[[#This Row],[Antal scenkonstverksamheter]]/B13</f>
        <v>0.24324324324324326</v>
      </c>
    </row>
    <row r="4" spans="1:3" x14ac:dyDescent="0.3">
      <c r="A4" s="11" t="s">
        <v>138</v>
      </c>
      <c r="B4" s="12">
        <v>18</v>
      </c>
      <c r="C4" s="15">
        <f>Tabell2[[#This Row],[Antal scenkonstverksamheter]]/B13</f>
        <v>0.24324324324324326</v>
      </c>
    </row>
    <row r="5" spans="1:3" x14ac:dyDescent="0.3">
      <c r="A5" s="11" t="s">
        <v>79</v>
      </c>
      <c r="B5" s="12">
        <v>7</v>
      </c>
      <c r="C5" s="15">
        <f>Tabell2[[#This Row],[Antal scenkonstverksamheter]]/B13</f>
        <v>9.45945945945946E-2</v>
      </c>
    </row>
    <row r="6" spans="1:3" x14ac:dyDescent="0.3">
      <c r="A6" s="11" t="s">
        <v>77</v>
      </c>
      <c r="B6" s="12">
        <v>5</v>
      </c>
      <c r="C6" s="15">
        <f>Tabell2[[#This Row],[Antal scenkonstverksamheter]]/B13</f>
        <v>6.7567567567567571E-2</v>
      </c>
    </row>
    <row r="7" spans="1:3" x14ac:dyDescent="0.3">
      <c r="A7" s="11" t="s">
        <v>132</v>
      </c>
      <c r="B7" s="12">
        <v>2</v>
      </c>
      <c r="C7" s="15">
        <f>Tabell2[[#This Row],[Antal scenkonstverksamheter]]/B13</f>
        <v>2.7027027027027029E-2</v>
      </c>
    </row>
    <row r="8" spans="1:3" x14ac:dyDescent="0.3">
      <c r="A8" s="11" t="s">
        <v>123</v>
      </c>
      <c r="B8" s="12">
        <v>7</v>
      </c>
      <c r="C8" s="15">
        <f>Tabell2[[#This Row],[Antal scenkonstverksamheter]]/B13</f>
        <v>9.45945945945946E-2</v>
      </c>
    </row>
    <row r="9" spans="1:3" x14ac:dyDescent="0.3">
      <c r="A9" s="11" t="s">
        <v>135</v>
      </c>
      <c r="B9" s="12">
        <v>2</v>
      </c>
      <c r="C9" s="15">
        <f>Tabell2[[#This Row],[Antal scenkonstverksamheter]]/B13</f>
        <v>2.7027027027027029E-2</v>
      </c>
    </row>
    <row r="10" spans="1:3" x14ac:dyDescent="0.3">
      <c r="A10" s="11" t="s">
        <v>136</v>
      </c>
      <c r="B10" s="12">
        <v>3</v>
      </c>
      <c r="C10" s="15">
        <f>Tabell2[[#This Row],[Antal scenkonstverksamheter]]/B13</f>
        <v>4.0540540540540543E-2</v>
      </c>
    </row>
    <row r="11" spans="1:3" x14ac:dyDescent="0.3">
      <c r="A11" s="11" t="s">
        <v>137</v>
      </c>
      <c r="B11" s="12">
        <v>5</v>
      </c>
      <c r="C11" s="15">
        <f>Tabell2[[#This Row],[Antal scenkonstverksamheter]]/B13</f>
        <v>6.7567567567567571E-2</v>
      </c>
    </row>
    <row r="12" spans="1:3" ht="20.6" x14ac:dyDescent="0.3">
      <c r="A12" s="11" t="s">
        <v>133</v>
      </c>
      <c r="B12" s="12">
        <v>7</v>
      </c>
      <c r="C12" s="15">
        <f>Tabell2[[#This Row],[Antal scenkonstverksamheter]]/B13</f>
        <v>9.45945945945946E-2</v>
      </c>
    </row>
    <row r="13" spans="1:3" x14ac:dyDescent="0.3">
      <c r="A13" s="46" t="s">
        <v>134</v>
      </c>
      <c r="B13" s="4">
        <f>SUM(B3:B12)</f>
        <v>74</v>
      </c>
      <c r="C13" s="47">
        <f>Tabell2[[#This Row],[Antal scenkonstverksamheter]]/B13</f>
        <v>1</v>
      </c>
    </row>
    <row r="15" spans="1:3" x14ac:dyDescent="0.3">
      <c r="A15" s="66" t="s">
        <v>866</v>
      </c>
    </row>
    <row r="22" spans="2:2" x14ac:dyDescent="0.3">
      <c r="B22" s="60"/>
    </row>
  </sheetData>
  <hyperlinks>
    <hyperlink ref="A15" location="Innehåll!A1" display="Till innehållsförteckning" xr:uid="{9279A08E-E3B2-4590-80D8-E8C7C764CF32}"/>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2A95E-0D86-4AB4-90C3-3911DC632F85}">
  <dimension ref="A1:B24"/>
  <sheetViews>
    <sheetView showGridLines="0" workbookViewId="0">
      <selection activeCell="N29" sqref="N29"/>
    </sheetView>
  </sheetViews>
  <sheetFormatPr defaultRowHeight="12.45" x14ac:dyDescent="0.3"/>
  <sheetData>
    <row r="1" spans="1:1" x14ac:dyDescent="0.3">
      <c r="A1" s="45" t="s">
        <v>889</v>
      </c>
    </row>
    <row r="2" spans="1:1" ht="409.5" customHeight="1" x14ac:dyDescent="0.3">
      <c r="A2" s="6"/>
    </row>
    <row r="4" spans="1:1" x14ac:dyDescent="0.3">
      <c r="A4" s="1"/>
    </row>
    <row r="23" spans="1:2" x14ac:dyDescent="0.3">
      <c r="B23" s="60"/>
    </row>
    <row r="24" spans="1:2" x14ac:dyDescent="0.3">
      <c r="A24" s="66" t="s">
        <v>866</v>
      </c>
    </row>
  </sheetData>
  <hyperlinks>
    <hyperlink ref="A24" location="Innehåll!A1" display="Till innehållsförteckning" xr:uid="{52874E17-73D0-4B52-8FAB-1B8D07409128}"/>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9D42-4ADC-4FD2-84A7-687C88B8435F}">
  <dimension ref="A1:G298"/>
  <sheetViews>
    <sheetView showGridLines="0" topLeftCell="A256" zoomScaleNormal="100" workbookViewId="0">
      <selection activeCell="Q43" sqref="Q43"/>
    </sheetView>
  </sheetViews>
  <sheetFormatPr defaultColWidth="9.15234375" defaultRowHeight="12.45" x14ac:dyDescent="0.3"/>
  <cols>
    <col min="1" max="1" width="16.3046875" style="39" customWidth="1"/>
    <col min="2" max="2" width="11.3046875" style="37" customWidth="1"/>
    <col min="3" max="3" width="15.3828125" style="37" customWidth="1"/>
    <col min="4" max="4" width="8.84375" style="37" customWidth="1"/>
    <col min="5" max="5" width="17.53515625" style="37" customWidth="1"/>
    <col min="6" max="6" width="22.69140625" style="37" customWidth="1"/>
    <col min="7" max="7" width="16.69140625" style="37" customWidth="1"/>
    <col min="8" max="16384" width="9.15234375" style="37"/>
  </cols>
  <sheetData>
    <row r="1" spans="1:7" x14ac:dyDescent="0.3">
      <c r="A1" s="45" t="s">
        <v>912</v>
      </c>
    </row>
    <row r="2" spans="1:7" ht="23.15" x14ac:dyDescent="0.3">
      <c r="E2" s="40" t="s">
        <v>851</v>
      </c>
      <c r="F2" s="40" t="s">
        <v>852</v>
      </c>
      <c r="G2" s="40" t="s">
        <v>853</v>
      </c>
    </row>
    <row r="3" spans="1:7" ht="15" customHeight="1" x14ac:dyDescent="0.3">
      <c r="A3" s="48" t="s">
        <v>247</v>
      </c>
      <c r="B3" s="48" t="s">
        <v>246</v>
      </c>
      <c r="C3" s="48" t="s">
        <v>249</v>
      </c>
      <c r="D3" s="48" t="s">
        <v>248</v>
      </c>
      <c r="E3" s="48" t="s">
        <v>911</v>
      </c>
      <c r="F3" s="48" t="s">
        <v>849</v>
      </c>
      <c r="G3" s="48" t="s">
        <v>250</v>
      </c>
    </row>
    <row r="4" spans="1:7" x14ac:dyDescent="0.3">
      <c r="A4" s="39" t="s">
        <v>252</v>
      </c>
      <c r="B4" s="38" t="s">
        <v>251</v>
      </c>
      <c r="C4" s="37" t="s">
        <v>154</v>
      </c>
      <c r="D4" s="37" t="s">
        <v>253</v>
      </c>
      <c r="E4" s="37">
        <v>1</v>
      </c>
      <c r="F4" s="37">
        <v>191</v>
      </c>
      <c r="G4" s="37">
        <v>1</v>
      </c>
    </row>
    <row r="5" spans="1:7" x14ac:dyDescent="0.3">
      <c r="A5" s="39" t="s">
        <v>255</v>
      </c>
      <c r="B5" s="38" t="s">
        <v>254</v>
      </c>
      <c r="C5" s="37" t="s">
        <v>154</v>
      </c>
      <c r="D5" s="37" t="s">
        <v>253</v>
      </c>
      <c r="F5" s="37">
        <v>148</v>
      </c>
      <c r="G5" s="37">
        <v>1</v>
      </c>
    </row>
    <row r="6" spans="1:7" x14ac:dyDescent="0.3">
      <c r="A6" s="39" t="s">
        <v>257</v>
      </c>
      <c r="B6" s="38" t="s">
        <v>256</v>
      </c>
      <c r="C6" s="37" t="s">
        <v>154</v>
      </c>
      <c r="D6" s="37" t="s">
        <v>253</v>
      </c>
      <c r="F6" s="37">
        <v>108</v>
      </c>
      <c r="G6" s="37">
        <v>1</v>
      </c>
    </row>
    <row r="7" spans="1:7" x14ac:dyDescent="0.3">
      <c r="A7" s="39" t="s">
        <v>259</v>
      </c>
      <c r="B7" s="38" t="s">
        <v>258</v>
      </c>
      <c r="C7" s="37" t="s">
        <v>154</v>
      </c>
      <c r="D7" s="37" t="s">
        <v>253</v>
      </c>
      <c r="F7" s="37">
        <v>102</v>
      </c>
      <c r="G7" s="37">
        <v>1</v>
      </c>
    </row>
    <row r="8" spans="1:7" x14ac:dyDescent="0.3">
      <c r="A8" s="39" t="s">
        <v>261</v>
      </c>
      <c r="B8" s="38" t="s">
        <v>260</v>
      </c>
      <c r="C8" s="37" t="s">
        <v>154</v>
      </c>
      <c r="D8" s="37" t="s">
        <v>253</v>
      </c>
      <c r="F8" s="37">
        <v>41</v>
      </c>
      <c r="G8" s="37">
        <v>1</v>
      </c>
    </row>
    <row r="9" spans="1:7" x14ac:dyDescent="0.3">
      <c r="A9" s="39" t="s">
        <v>263</v>
      </c>
      <c r="B9" s="38" t="s">
        <v>262</v>
      </c>
      <c r="C9" s="37" t="s">
        <v>155</v>
      </c>
      <c r="D9" s="37" t="s">
        <v>264</v>
      </c>
      <c r="E9" s="37">
        <v>2</v>
      </c>
      <c r="F9" s="37">
        <v>69</v>
      </c>
      <c r="G9" s="37">
        <v>1</v>
      </c>
    </row>
    <row r="10" spans="1:7" x14ac:dyDescent="0.3">
      <c r="A10" s="39" t="s">
        <v>266</v>
      </c>
      <c r="B10" s="38" t="s">
        <v>265</v>
      </c>
      <c r="C10" s="37" t="s">
        <v>155</v>
      </c>
      <c r="D10" s="37" t="s">
        <v>264</v>
      </c>
      <c r="F10" s="37">
        <v>39</v>
      </c>
      <c r="G10" s="37">
        <v>1</v>
      </c>
    </row>
    <row r="11" spans="1:7" x14ac:dyDescent="0.3">
      <c r="A11" s="39" t="s">
        <v>268</v>
      </c>
      <c r="B11" s="38" t="s">
        <v>267</v>
      </c>
      <c r="C11" s="37" t="s">
        <v>155</v>
      </c>
      <c r="D11" s="37" t="s">
        <v>264</v>
      </c>
      <c r="E11" s="37">
        <v>1</v>
      </c>
      <c r="F11" s="37">
        <v>29</v>
      </c>
      <c r="G11" s="37">
        <v>1</v>
      </c>
    </row>
    <row r="12" spans="1:7" x14ac:dyDescent="0.3">
      <c r="A12" s="39" t="s">
        <v>270</v>
      </c>
      <c r="B12" s="38" t="s">
        <v>269</v>
      </c>
      <c r="C12" s="37" t="s">
        <v>155</v>
      </c>
      <c r="D12" s="37" t="s">
        <v>264</v>
      </c>
      <c r="F12" s="37">
        <v>22</v>
      </c>
      <c r="G12" s="37">
        <v>1</v>
      </c>
    </row>
    <row r="13" spans="1:7" x14ac:dyDescent="0.3">
      <c r="A13" s="39" t="s">
        <v>272</v>
      </c>
      <c r="B13" s="38" t="s">
        <v>271</v>
      </c>
      <c r="C13" s="37" t="s">
        <v>155</v>
      </c>
      <c r="D13" s="37" t="s">
        <v>264</v>
      </c>
      <c r="F13" s="37">
        <v>12</v>
      </c>
      <c r="G13" s="37">
        <v>1</v>
      </c>
    </row>
    <row r="14" spans="1:7" x14ac:dyDescent="0.3">
      <c r="A14" s="39" t="s">
        <v>274</v>
      </c>
      <c r="B14" s="38" t="s">
        <v>273</v>
      </c>
      <c r="C14" s="37" t="s">
        <v>155</v>
      </c>
      <c r="D14" s="37" t="s">
        <v>264</v>
      </c>
      <c r="E14" s="37">
        <v>1</v>
      </c>
      <c r="F14" s="37">
        <v>10</v>
      </c>
      <c r="G14" s="37">
        <v>1</v>
      </c>
    </row>
    <row r="15" spans="1:7" x14ac:dyDescent="0.3">
      <c r="A15" s="39" t="s">
        <v>276</v>
      </c>
      <c r="B15" s="38" t="s">
        <v>275</v>
      </c>
      <c r="C15" s="37" t="s">
        <v>155</v>
      </c>
      <c r="D15" s="37" t="s">
        <v>264</v>
      </c>
      <c r="F15" s="37">
        <v>10</v>
      </c>
      <c r="G15" s="37">
        <v>1</v>
      </c>
    </row>
    <row r="16" spans="1:7" x14ac:dyDescent="0.3">
      <c r="A16" s="39" t="s">
        <v>278</v>
      </c>
      <c r="B16" s="38" t="s">
        <v>277</v>
      </c>
      <c r="C16" s="37" t="s">
        <v>155</v>
      </c>
      <c r="D16" s="37" t="s">
        <v>264</v>
      </c>
      <c r="E16" s="37">
        <v>1</v>
      </c>
      <c r="F16" s="37">
        <v>7</v>
      </c>
      <c r="G16" s="37">
        <v>1</v>
      </c>
    </row>
    <row r="17" spans="1:7" x14ac:dyDescent="0.3">
      <c r="A17" s="39" t="s">
        <v>280</v>
      </c>
      <c r="B17" s="38" t="s">
        <v>279</v>
      </c>
      <c r="C17" s="37" t="s">
        <v>155</v>
      </c>
      <c r="D17" s="37" t="s">
        <v>264</v>
      </c>
      <c r="F17" s="37">
        <v>7</v>
      </c>
      <c r="G17" s="37">
        <v>1</v>
      </c>
    </row>
    <row r="18" spans="1:7" x14ac:dyDescent="0.3">
      <c r="A18" s="39" t="s">
        <v>282</v>
      </c>
      <c r="B18" s="38" t="s">
        <v>281</v>
      </c>
      <c r="C18" s="37" t="s">
        <v>155</v>
      </c>
      <c r="D18" s="37" t="s">
        <v>264</v>
      </c>
      <c r="F18" s="37">
        <v>6</v>
      </c>
      <c r="G18" s="37">
        <v>1</v>
      </c>
    </row>
    <row r="19" spans="1:7" x14ac:dyDescent="0.3">
      <c r="A19" s="39" t="s">
        <v>284</v>
      </c>
      <c r="B19" s="38" t="s">
        <v>283</v>
      </c>
      <c r="C19" s="37" t="s">
        <v>155</v>
      </c>
      <c r="D19" s="37" t="s">
        <v>264</v>
      </c>
      <c r="F19" s="37">
        <v>6</v>
      </c>
      <c r="G19" s="37">
        <v>1</v>
      </c>
    </row>
    <row r="20" spans="1:7" x14ac:dyDescent="0.3">
      <c r="A20" s="39" t="s">
        <v>286</v>
      </c>
      <c r="B20" s="38" t="s">
        <v>285</v>
      </c>
      <c r="C20" s="37" t="s">
        <v>155</v>
      </c>
      <c r="D20" s="37" t="s">
        <v>264</v>
      </c>
      <c r="F20" s="37">
        <v>5</v>
      </c>
      <c r="G20" s="37">
        <v>1</v>
      </c>
    </row>
    <row r="21" spans="1:7" x14ac:dyDescent="0.3">
      <c r="A21" s="39" t="s">
        <v>288</v>
      </c>
      <c r="B21" s="38" t="s">
        <v>287</v>
      </c>
      <c r="C21" s="37" t="s">
        <v>155</v>
      </c>
      <c r="D21" s="37" t="s">
        <v>264</v>
      </c>
      <c r="F21" s="37">
        <v>4</v>
      </c>
      <c r="G21" s="37">
        <v>1</v>
      </c>
    </row>
    <row r="22" spans="1:7" x14ac:dyDescent="0.3">
      <c r="A22" s="39" t="s">
        <v>290</v>
      </c>
      <c r="B22" s="38" t="s">
        <v>289</v>
      </c>
      <c r="C22" s="37" t="s">
        <v>155</v>
      </c>
      <c r="D22" s="37" t="s">
        <v>264</v>
      </c>
      <c r="F22" s="37">
        <v>2</v>
      </c>
      <c r="G22" s="37">
        <v>1</v>
      </c>
    </row>
    <row r="23" spans="1:7" x14ac:dyDescent="0.3">
      <c r="A23" s="39" t="s">
        <v>292</v>
      </c>
      <c r="B23" s="62" t="s">
        <v>291</v>
      </c>
      <c r="C23" s="37" t="s">
        <v>155</v>
      </c>
      <c r="D23" s="37" t="s">
        <v>264</v>
      </c>
      <c r="E23" s="37">
        <v>1</v>
      </c>
      <c r="G23" s="37">
        <v>1</v>
      </c>
    </row>
    <row r="24" spans="1:7" x14ac:dyDescent="0.3">
      <c r="A24" s="39" t="s">
        <v>92</v>
      </c>
      <c r="B24" s="38" t="s">
        <v>293</v>
      </c>
      <c r="C24" s="37" t="s">
        <v>156</v>
      </c>
      <c r="D24" s="37" t="s">
        <v>294</v>
      </c>
      <c r="E24" s="37">
        <v>2</v>
      </c>
      <c r="F24" s="37">
        <v>308</v>
      </c>
      <c r="G24" s="37">
        <v>1</v>
      </c>
    </row>
    <row r="25" spans="1:7" x14ac:dyDescent="0.3">
      <c r="A25" s="39" t="s">
        <v>296</v>
      </c>
      <c r="B25" s="38" t="s">
        <v>295</v>
      </c>
      <c r="C25" s="37" t="s">
        <v>157</v>
      </c>
      <c r="D25" s="37" t="s">
        <v>297</v>
      </c>
      <c r="E25" s="37">
        <v>3</v>
      </c>
      <c r="F25" s="37">
        <v>140</v>
      </c>
      <c r="G25" s="37">
        <v>1</v>
      </c>
    </row>
    <row r="26" spans="1:7" x14ac:dyDescent="0.3">
      <c r="A26" s="39" t="s">
        <v>299</v>
      </c>
      <c r="B26" s="38" t="s">
        <v>298</v>
      </c>
      <c r="C26" s="37" t="s">
        <v>157</v>
      </c>
      <c r="D26" s="37" t="s">
        <v>297</v>
      </c>
      <c r="F26" s="37">
        <v>29</v>
      </c>
      <c r="G26" s="37">
        <v>1</v>
      </c>
    </row>
    <row r="27" spans="1:7" x14ac:dyDescent="0.3">
      <c r="A27" s="39" t="s">
        <v>301</v>
      </c>
      <c r="B27" s="38" t="s">
        <v>300</v>
      </c>
      <c r="C27" s="37" t="s">
        <v>157</v>
      </c>
      <c r="D27" s="37" t="s">
        <v>297</v>
      </c>
      <c r="F27" s="37">
        <v>24</v>
      </c>
      <c r="G27" s="37">
        <v>1</v>
      </c>
    </row>
    <row r="28" spans="1:7" x14ac:dyDescent="0.3">
      <c r="A28" s="39" t="s">
        <v>303</v>
      </c>
      <c r="B28" s="38" t="s">
        <v>302</v>
      </c>
      <c r="C28" s="37" t="s">
        <v>157</v>
      </c>
      <c r="D28" s="37" t="s">
        <v>297</v>
      </c>
      <c r="F28" s="37">
        <v>23</v>
      </c>
      <c r="G28" s="37">
        <v>1</v>
      </c>
    </row>
    <row r="29" spans="1:7" x14ac:dyDescent="0.3">
      <c r="A29" s="39" t="s">
        <v>305</v>
      </c>
      <c r="B29" s="38" t="s">
        <v>304</v>
      </c>
      <c r="C29" s="37" t="s">
        <v>157</v>
      </c>
      <c r="D29" s="37" t="s">
        <v>297</v>
      </c>
      <c r="F29" s="37">
        <v>13</v>
      </c>
      <c r="G29" s="37">
        <v>1</v>
      </c>
    </row>
    <row r="30" spans="1:7" x14ac:dyDescent="0.3">
      <c r="A30" s="39" t="s">
        <v>307</v>
      </c>
      <c r="B30" s="38" t="s">
        <v>306</v>
      </c>
      <c r="C30" s="37" t="s">
        <v>157</v>
      </c>
      <c r="D30" s="37" t="s">
        <v>297</v>
      </c>
      <c r="F30" s="37">
        <v>13</v>
      </c>
      <c r="G30" s="37">
        <v>1</v>
      </c>
    </row>
    <row r="31" spans="1:7" x14ac:dyDescent="0.3">
      <c r="A31" s="39" t="s">
        <v>309</v>
      </c>
      <c r="B31" s="38" t="s">
        <v>308</v>
      </c>
      <c r="C31" s="37" t="s">
        <v>157</v>
      </c>
      <c r="D31" s="37" t="s">
        <v>297</v>
      </c>
      <c r="F31" s="37">
        <v>10</v>
      </c>
      <c r="G31" s="37">
        <v>1</v>
      </c>
    </row>
    <row r="32" spans="1:7" x14ac:dyDescent="0.3">
      <c r="A32" s="39" t="s">
        <v>311</v>
      </c>
      <c r="B32" s="38" t="s">
        <v>310</v>
      </c>
      <c r="C32" s="37" t="s">
        <v>157</v>
      </c>
      <c r="D32" s="37" t="s">
        <v>297</v>
      </c>
      <c r="F32" s="37">
        <v>9</v>
      </c>
      <c r="G32" s="37">
        <v>1</v>
      </c>
    </row>
    <row r="33" spans="1:7" x14ac:dyDescent="0.3">
      <c r="A33" s="39" t="s">
        <v>313</v>
      </c>
      <c r="B33" s="38" t="s">
        <v>312</v>
      </c>
      <c r="C33" s="37" t="s">
        <v>157</v>
      </c>
      <c r="D33" s="37" t="s">
        <v>297</v>
      </c>
      <c r="F33" s="37">
        <v>8</v>
      </c>
      <c r="G33" s="37">
        <v>1</v>
      </c>
    </row>
    <row r="34" spans="1:7" x14ac:dyDescent="0.3">
      <c r="A34" s="39" t="s">
        <v>315</v>
      </c>
      <c r="B34" s="38" t="s">
        <v>314</v>
      </c>
      <c r="C34" s="37" t="s">
        <v>157</v>
      </c>
      <c r="D34" s="37" t="s">
        <v>297</v>
      </c>
      <c r="F34" s="37">
        <v>3</v>
      </c>
      <c r="G34" s="37">
        <v>1</v>
      </c>
    </row>
    <row r="35" spans="1:7" x14ac:dyDescent="0.3">
      <c r="A35" s="39" t="s">
        <v>317</v>
      </c>
      <c r="B35" s="38" t="s">
        <v>316</v>
      </c>
      <c r="C35" s="37" t="s">
        <v>158</v>
      </c>
      <c r="D35" s="37" t="s">
        <v>318</v>
      </c>
      <c r="E35" s="37">
        <v>1</v>
      </c>
      <c r="F35" s="37">
        <v>102</v>
      </c>
      <c r="G35" s="37">
        <v>1</v>
      </c>
    </row>
    <row r="36" spans="1:7" x14ac:dyDescent="0.3">
      <c r="A36" s="39" t="s">
        <v>320</v>
      </c>
      <c r="B36" s="38" t="s">
        <v>319</v>
      </c>
      <c r="C36" s="37" t="s">
        <v>158</v>
      </c>
      <c r="D36" s="37" t="s">
        <v>318</v>
      </c>
      <c r="E36" s="37">
        <v>2</v>
      </c>
      <c r="F36" s="37">
        <v>67</v>
      </c>
      <c r="G36" s="37">
        <v>1</v>
      </c>
    </row>
    <row r="37" spans="1:7" x14ac:dyDescent="0.3">
      <c r="A37" s="39" t="s">
        <v>322</v>
      </c>
      <c r="B37" s="38" t="s">
        <v>321</v>
      </c>
      <c r="C37" s="37" t="s">
        <v>158</v>
      </c>
      <c r="D37" s="37" t="s">
        <v>318</v>
      </c>
      <c r="F37" s="37">
        <v>48</v>
      </c>
      <c r="G37" s="37">
        <v>1</v>
      </c>
    </row>
    <row r="38" spans="1:7" x14ac:dyDescent="0.3">
      <c r="A38" s="39" t="s">
        <v>324</v>
      </c>
      <c r="B38" s="38" t="s">
        <v>323</v>
      </c>
      <c r="C38" s="37" t="s">
        <v>158</v>
      </c>
      <c r="D38" s="37" t="s">
        <v>318</v>
      </c>
      <c r="F38" s="37">
        <v>45</v>
      </c>
      <c r="G38" s="37">
        <v>1</v>
      </c>
    </row>
    <row r="39" spans="1:7" x14ac:dyDescent="0.3">
      <c r="A39" s="39" t="s">
        <v>326</v>
      </c>
      <c r="B39" s="38" t="s">
        <v>325</v>
      </c>
      <c r="C39" s="37" t="s">
        <v>158</v>
      </c>
      <c r="D39" s="37" t="s">
        <v>318</v>
      </c>
      <c r="F39" s="37">
        <v>36</v>
      </c>
      <c r="G39" s="37">
        <v>1</v>
      </c>
    </row>
    <row r="40" spans="1:7" x14ac:dyDescent="0.3">
      <c r="A40" s="39" t="s">
        <v>328</v>
      </c>
      <c r="B40" s="38" t="s">
        <v>327</v>
      </c>
      <c r="C40" s="37" t="s">
        <v>158</v>
      </c>
      <c r="D40" s="37" t="s">
        <v>318</v>
      </c>
      <c r="F40" s="37">
        <v>21</v>
      </c>
      <c r="G40" s="37">
        <v>1</v>
      </c>
    </row>
    <row r="41" spans="1:7" x14ac:dyDescent="0.3">
      <c r="A41" s="39" t="s">
        <v>330</v>
      </c>
      <c r="B41" s="38" t="s">
        <v>329</v>
      </c>
      <c r="C41" s="37" t="s">
        <v>159</v>
      </c>
      <c r="D41" s="37" t="s">
        <v>331</v>
      </c>
      <c r="E41" s="37">
        <v>4</v>
      </c>
      <c r="F41" s="37">
        <v>141</v>
      </c>
      <c r="G41" s="37">
        <v>1</v>
      </c>
    </row>
    <row r="42" spans="1:7" x14ac:dyDescent="0.3">
      <c r="A42" s="39" t="s">
        <v>333</v>
      </c>
      <c r="B42" s="38" t="s">
        <v>332</v>
      </c>
      <c r="C42" s="37" t="s">
        <v>159</v>
      </c>
      <c r="D42" s="37" t="s">
        <v>331</v>
      </c>
      <c r="F42" s="37">
        <v>62</v>
      </c>
      <c r="G42" s="37">
        <v>1</v>
      </c>
    </row>
    <row r="43" spans="1:7" x14ac:dyDescent="0.3">
      <c r="A43" s="39" t="s">
        <v>335</v>
      </c>
      <c r="B43" s="38" t="s">
        <v>334</v>
      </c>
      <c r="C43" s="37" t="s">
        <v>159</v>
      </c>
      <c r="D43" s="37" t="s">
        <v>331</v>
      </c>
      <c r="F43" s="37">
        <v>53</v>
      </c>
      <c r="G43" s="37">
        <v>1</v>
      </c>
    </row>
    <row r="44" spans="1:7" x14ac:dyDescent="0.3">
      <c r="A44" s="39" t="s">
        <v>337</v>
      </c>
      <c r="B44" s="38" t="s">
        <v>336</v>
      </c>
      <c r="C44" s="37" t="s">
        <v>159</v>
      </c>
      <c r="D44" s="37" t="s">
        <v>331</v>
      </c>
      <c r="E44" s="37">
        <v>1</v>
      </c>
      <c r="F44" s="37">
        <v>51</v>
      </c>
      <c r="G44" s="37">
        <v>1</v>
      </c>
    </row>
    <row r="45" spans="1:7" x14ac:dyDescent="0.3">
      <c r="A45" s="39" t="s">
        <v>339</v>
      </c>
      <c r="B45" s="38" t="s">
        <v>338</v>
      </c>
      <c r="C45" s="37" t="s">
        <v>159</v>
      </c>
      <c r="D45" s="37" t="s">
        <v>331</v>
      </c>
      <c r="F45" s="37">
        <v>18</v>
      </c>
      <c r="G45" s="37">
        <v>1</v>
      </c>
    </row>
    <row r="46" spans="1:7" x14ac:dyDescent="0.3">
      <c r="A46" s="39" t="s">
        <v>341</v>
      </c>
      <c r="B46" s="38" t="s">
        <v>340</v>
      </c>
      <c r="C46" s="37" t="s">
        <v>159</v>
      </c>
      <c r="D46" s="37" t="s">
        <v>331</v>
      </c>
      <c r="F46" s="37">
        <v>16</v>
      </c>
      <c r="G46" s="37">
        <v>1</v>
      </c>
    </row>
    <row r="47" spans="1:7" x14ac:dyDescent="0.3">
      <c r="A47" s="39" t="s">
        <v>343</v>
      </c>
      <c r="B47" s="38" t="s">
        <v>342</v>
      </c>
      <c r="C47" s="37" t="s">
        <v>159</v>
      </c>
      <c r="D47" s="37" t="s">
        <v>331</v>
      </c>
      <c r="F47" s="37">
        <v>12</v>
      </c>
      <c r="G47" s="37">
        <v>1</v>
      </c>
    </row>
    <row r="48" spans="1:7" x14ac:dyDescent="0.3">
      <c r="A48" s="39" t="s">
        <v>345</v>
      </c>
      <c r="B48" s="38" t="s">
        <v>344</v>
      </c>
      <c r="C48" s="37" t="s">
        <v>159</v>
      </c>
      <c r="D48" s="37" t="s">
        <v>331</v>
      </c>
      <c r="F48" s="37">
        <v>8</v>
      </c>
      <c r="G48" s="37">
        <v>1</v>
      </c>
    </row>
    <row r="49" spans="1:7" x14ac:dyDescent="0.3">
      <c r="A49" s="39" t="s">
        <v>97</v>
      </c>
      <c r="B49" s="38" t="s">
        <v>346</v>
      </c>
      <c r="C49" s="37" t="s">
        <v>160</v>
      </c>
      <c r="D49" s="37" t="s">
        <v>347</v>
      </c>
      <c r="E49" s="37">
        <v>1</v>
      </c>
      <c r="F49" s="37">
        <v>302</v>
      </c>
      <c r="G49" s="37">
        <v>1</v>
      </c>
    </row>
    <row r="50" spans="1:7" x14ac:dyDescent="0.3">
      <c r="A50" s="39" t="s">
        <v>349</v>
      </c>
      <c r="B50" s="38" t="s">
        <v>348</v>
      </c>
      <c r="C50" s="37" t="s">
        <v>160</v>
      </c>
      <c r="D50" s="37" t="s">
        <v>347</v>
      </c>
      <c r="F50" s="37">
        <v>23</v>
      </c>
      <c r="G50" s="37">
        <v>1</v>
      </c>
    </row>
    <row r="51" spans="1:7" x14ac:dyDescent="0.3">
      <c r="A51" s="39" t="s">
        <v>351</v>
      </c>
      <c r="B51" s="38" t="s">
        <v>350</v>
      </c>
      <c r="C51" s="37" t="s">
        <v>160</v>
      </c>
      <c r="D51" s="37" t="s">
        <v>347</v>
      </c>
      <c r="F51" s="37">
        <v>20</v>
      </c>
      <c r="G51" s="37">
        <v>1</v>
      </c>
    </row>
    <row r="52" spans="1:7" x14ac:dyDescent="0.3">
      <c r="A52" s="39" t="s">
        <v>353</v>
      </c>
      <c r="B52" s="38" t="s">
        <v>352</v>
      </c>
      <c r="C52" s="37" t="s">
        <v>160</v>
      </c>
      <c r="D52" s="37" t="s">
        <v>347</v>
      </c>
      <c r="F52" s="37">
        <v>14</v>
      </c>
      <c r="G52" s="37">
        <v>1</v>
      </c>
    </row>
    <row r="53" spans="1:7" x14ac:dyDescent="0.3">
      <c r="A53" s="39" t="s">
        <v>355</v>
      </c>
      <c r="B53" s="38" t="s">
        <v>354</v>
      </c>
      <c r="C53" s="37" t="s">
        <v>160</v>
      </c>
      <c r="D53" s="37" t="s">
        <v>347</v>
      </c>
      <c r="F53" s="37">
        <v>11</v>
      </c>
      <c r="G53" s="37">
        <v>1</v>
      </c>
    </row>
    <row r="54" spans="1:7" x14ac:dyDescent="0.3">
      <c r="A54" s="39" t="s">
        <v>357</v>
      </c>
      <c r="B54" s="38" t="s">
        <v>356</v>
      </c>
      <c r="C54" s="37" t="s">
        <v>160</v>
      </c>
      <c r="D54" s="37" t="s">
        <v>347</v>
      </c>
      <c r="F54" s="37">
        <v>8</v>
      </c>
      <c r="G54" s="37">
        <v>1</v>
      </c>
    </row>
    <row r="55" spans="1:7" x14ac:dyDescent="0.3">
      <c r="A55" s="39" t="s">
        <v>359</v>
      </c>
      <c r="B55" s="38" t="s">
        <v>358</v>
      </c>
      <c r="C55" s="37" t="s">
        <v>160</v>
      </c>
      <c r="D55" s="37" t="s">
        <v>347</v>
      </c>
      <c r="F55" s="37">
        <v>6</v>
      </c>
    </row>
    <row r="56" spans="1:7" x14ac:dyDescent="0.3">
      <c r="A56" s="39" t="s">
        <v>361</v>
      </c>
      <c r="B56" s="38" t="s">
        <v>360</v>
      </c>
      <c r="C56" s="37" t="s">
        <v>160</v>
      </c>
      <c r="D56" s="37" t="s">
        <v>347</v>
      </c>
      <c r="F56" s="37">
        <v>6</v>
      </c>
      <c r="G56" s="37">
        <v>1</v>
      </c>
    </row>
    <row r="57" spans="1:7" x14ac:dyDescent="0.3">
      <c r="A57" s="39" t="s">
        <v>363</v>
      </c>
      <c r="B57" s="38" t="s">
        <v>362</v>
      </c>
      <c r="C57" s="37" t="s">
        <v>160</v>
      </c>
      <c r="D57" s="37" t="s">
        <v>347</v>
      </c>
      <c r="F57" s="37">
        <v>4</v>
      </c>
      <c r="G57" s="37">
        <v>1</v>
      </c>
    </row>
    <row r="58" spans="1:7" x14ac:dyDescent="0.3">
      <c r="A58" s="39" t="s">
        <v>365</v>
      </c>
      <c r="B58" s="38" t="s">
        <v>364</v>
      </c>
      <c r="C58" s="37" t="s">
        <v>160</v>
      </c>
      <c r="D58" s="37" t="s">
        <v>347</v>
      </c>
      <c r="F58" s="37">
        <v>4</v>
      </c>
      <c r="G58" s="37">
        <v>1</v>
      </c>
    </row>
    <row r="59" spans="1:7" x14ac:dyDescent="0.3">
      <c r="A59" s="39" t="s">
        <v>367</v>
      </c>
      <c r="B59" s="38" t="s">
        <v>366</v>
      </c>
      <c r="C59" s="37" t="s">
        <v>160</v>
      </c>
      <c r="D59" s="37" t="s">
        <v>347</v>
      </c>
      <c r="F59" s="37">
        <v>2</v>
      </c>
      <c r="G59" s="37">
        <v>1</v>
      </c>
    </row>
    <row r="60" spans="1:7" x14ac:dyDescent="0.3">
      <c r="A60" s="39" t="s">
        <v>369</v>
      </c>
      <c r="B60" s="38" t="s">
        <v>368</v>
      </c>
      <c r="C60" s="37" t="s">
        <v>160</v>
      </c>
      <c r="D60" s="37" t="s">
        <v>347</v>
      </c>
      <c r="F60" s="37">
        <v>1</v>
      </c>
      <c r="G60" s="37">
        <v>1</v>
      </c>
    </row>
    <row r="61" spans="1:7" x14ac:dyDescent="0.3">
      <c r="A61" s="39" t="s">
        <v>371</v>
      </c>
      <c r="B61" s="38" t="s">
        <v>370</v>
      </c>
      <c r="C61" s="37" t="s">
        <v>160</v>
      </c>
      <c r="D61" s="37" t="s">
        <v>347</v>
      </c>
    </row>
    <row r="62" spans="1:7" x14ac:dyDescent="0.3">
      <c r="A62" s="39" t="s">
        <v>98</v>
      </c>
      <c r="B62" s="38" t="s">
        <v>372</v>
      </c>
      <c r="C62" s="37" t="s">
        <v>161</v>
      </c>
      <c r="D62" s="37" t="s">
        <v>373</v>
      </c>
      <c r="E62" s="37">
        <v>1</v>
      </c>
      <c r="F62" s="37">
        <v>100</v>
      </c>
      <c r="G62" s="37">
        <v>1</v>
      </c>
    </row>
    <row r="63" spans="1:7" x14ac:dyDescent="0.3">
      <c r="A63" s="39" t="s">
        <v>375</v>
      </c>
      <c r="B63" s="38" t="s">
        <v>374</v>
      </c>
      <c r="C63" s="37" t="s">
        <v>161</v>
      </c>
      <c r="D63" s="37" t="s">
        <v>373</v>
      </c>
      <c r="E63" s="37">
        <v>1</v>
      </c>
      <c r="F63" s="37">
        <v>28</v>
      </c>
      <c r="G63" s="37">
        <v>1</v>
      </c>
    </row>
    <row r="64" spans="1:7" x14ac:dyDescent="0.3">
      <c r="A64" s="39" t="s">
        <v>377</v>
      </c>
      <c r="B64" s="38" t="s">
        <v>376</v>
      </c>
      <c r="C64" s="37" t="s">
        <v>161</v>
      </c>
      <c r="D64" s="37" t="s">
        <v>373</v>
      </c>
      <c r="F64" s="37">
        <v>18</v>
      </c>
      <c r="G64" s="37">
        <v>1</v>
      </c>
    </row>
    <row r="65" spans="1:7" x14ac:dyDescent="0.3">
      <c r="A65" s="39" t="s">
        <v>379</v>
      </c>
      <c r="B65" s="38" t="s">
        <v>378</v>
      </c>
      <c r="C65" s="37" t="s">
        <v>161</v>
      </c>
      <c r="D65" s="37" t="s">
        <v>373</v>
      </c>
      <c r="F65" s="37">
        <v>17</v>
      </c>
      <c r="G65" s="37">
        <v>1</v>
      </c>
    </row>
    <row r="66" spans="1:7" x14ac:dyDescent="0.3">
      <c r="A66" s="39" t="s">
        <v>381</v>
      </c>
      <c r="B66" s="38" t="s">
        <v>380</v>
      </c>
      <c r="C66" s="37" t="s">
        <v>161</v>
      </c>
      <c r="D66" s="37" t="s">
        <v>373</v>
      </c>
      <c r="F66" s="37">
        <v>13</v>
      </c>
      <c r="G66" s="37">
        <v>1</v>
      </c>
    </row>
    <row r="67" spans="1:7" x14ac:dyDescent="0.3">
      <c r="A67" s="39" t="s">
        <v>383</v>
      </c>
      <c r="B67" s="38" t="s">
        <v>382</v>
      </c>
      <c r="C67" s="37" t="s">
        <v>161</v>
      </c>
      <c r="D67" s="37" t="s">
        <v>373</v>
      </c>
      <c r="F67" s="37">
        <v>11</v>
      </c>
      <c r="G67" s="37">
        <v>1</v>
      </c>
    </row>
    <row r="68" spans="1:7" x14ac:dyDescent="0.3">
      <c r="A68" s="39" t="s">
        <v>385</v>
      </c>
      <c r="B68" s="38" t="s">
        <v>384</v>
      </c>
      <c r="C68" s="37" t="s">
        <v>161</v>
      </c>
      <c r="D68" s="37" t="s">
        <v>373</v>
      </c>
      <c r="F68" s="37">
        <v>9</v>
      </c>
      <c r="G68" s="37">
        <v>1</v>
      </c>
    </row>
    <row r="69" spans="1:7" x14ac:dyDescent="0.3">
      <c r="A69" s="39" t="s">
        <v>387</v>
      </c>
      <c r="B69" s="38" t="s">
        <v>386</v>
      </c>
      <c r="C69" s="37" t="s">
        <v>161</v>
      </c>
      <c r="D69" s="37" t="s">
        <v>373</v>
      </c>
      <c r="F69" s="37">
        <v>7</v>
      </c>
      <c r="G69" s="37">
        <v>1</v>
      </c>
    </row>
    <row r="70" spans="1:7" x14ac:dyDescent="0.3">
      <c r="A70" s="39" t="s">
        <v>389</v>
      </c>
      <c r="B70" s="38" t="s">
        <v>388</v>
      </c>
      <c r="C70" s="37" t="s">
        <v>161</v>
      </c>
      <c r="D70" s="37" t="s">
        <v>373</v>
      </c>
      <c r="F70" s="37">
        <v>7</v>
      </c>
      <c r="G70" s="37">
        <v>1</v>
      </c>
    </row>
    <row r="71" spans="1:7" x14ac:dyDescent="0.3">
      <c r="A71" s="39" t="s">
        <v>391</v>
      </c>
      <c r="B71" s="38" t="s">
        <v>390</v>
      </c>
      <c r="C71" s="37" t="s">
        <v>161</v>
      </c>
      <c r="D71" s="37" t="s">
        <v>373</v>
      </c>
      <c r="F71" s="37">
        <v>6</v>
      </c>
      <c r="G71" s="37">
        <v>1</v>
      </c>
    </row>
    <row r="72" spans="1:7" x14ac:dyDescent="0.3">
      <c r="A72" s="39" t="s">
        <v>393</v>
      </c>
      <c r="B72" s="38" t="s">
        <v>392</v>
      </c>
      <c r="C72" s="37" t="s">
        <v>161</v>
      </c>
      <c r="D72" s="37" t="s">
        <v>373</v>
      </c>
      <c r="F72" s="37">
        <v>2</v>
      </c>
      <c r="G72" s="37">
        <v>1</v>
      </c>
    </row>
    <row r="73" spans="1:7" x14ac:dyDescent="0.3">
      <c r="A73" s="39" t="s">
        <v>395</v>
      </c>
      <c r="B73" s="38" t="s">
        <v>394</v>
      </c>
      <c r="C73" s="37" t="s">
        <v>161</v>
      </c>
      <c r="D73" s="37" t="s">
        <v>373</v>
      </c>
      <c r="F73" s="37">
        <v>2</v>
      </c>
      <c r="G73" s="37">
        <v>1</v>
      </c>
    </row>
    <row r="74" spans="1:7" x14ac:dyDescent="0.3">
      <c r="A74" s="39" t="s">
        <v>397</v>
      </c>
      <c r="B74" s="38" t="s">
        <v>396</v>
      </c>
      <c r="C74" s="37" t="s">
        <v>162</v>
      </c>
      <c r="D74" s="37" t="s">
        <v>398</v>
      </c>
      <c r="E74" s="37">
        <v>1</v>
      </c>
      <c r="F74" s="37">
        <v>178</v>
      </c>
      <c r="G74" s="37">
        <v>1</v>
      </c>
    </row>
    <row r="75" spans="1:7" x14ac:dyDescent="0.3">
      <c r="A75" s="39" t="s">
        <v>400</v>
      </c>
      <c r="B75" s="38" t="s">
        <v>399</v>
      </c>
      <c r="C75" s="37" t="s">
        <v>162</v>
      </c>
      <c r="D75" s="37" t="s">
        <v>398</v>
      </c>
      <c r="F75" s="37">
        <v>56</v>
      </c>
      <c r="G75" s="37">
        <v>1</v>
      </c>
    </row>
    <row r="76" spans="1:7" x14ac:dyDescent="0.3">
      <c r="A76" s="39" t="s">
        <v>402</v>
      </c>
      <c r="B76" s="38" t="s">
        <v>401</v>
      </c>
      <c r="C76" s="37" t="s">
        <v>162</v>
      </c>
      <c r="D76" s="37" t="s">
        <v>398</v>
      </c>
      <c r="F76" s="37">
        <v>47</v>
      </c>
      <c r="G76" s="37">
        <v>1</v>
      </c>
    </row>
    <row r="77" spans="1:7" x14ac:dyDescent="0.3">
      <c r="A77" s="39" t="s">
        <v>404</v>
      </c>
      <c r="B77" s="38" t="s">
        <v>403</v>
      </c>
      <c r="C77" s="37" t="s">
        <v>162</v>
      </c>
      <c r="D77" s="37" t="s">
        <v>398</v>
      </c>
      <c r="F77" s="37">
        <v>27</v>
      </c>
      <c r="G77" s="37">
        <v>1</v>
      </c>
    </row>
    <row r="78" spans="1:7" x14ac:dyDescent="0.3">
      <c r="A78" s="39" t="s">
        <v>406</v>
      </c>
      <c r="B78" s="38" t="s">
        <v>405</v>
      </c>
      <c r="C78" s="37" t="s">
        <v>162</v>
      </c>
      <c r="D78" s="37" t="s">
        <v>398</v>
      </c>
      <c r="F78" s="37">
        <v>26</v>
      </c>
      <c r="G78" s="37">
        <v>1</v>
      </c>
    </row>
    <row r="79" spans="1:7" x14ac:dyDescent="0.3">
      <c r="A79" s="39" t="s">
        <v>408</v>
      </c>
      <c r="B79" s="38" t="s">
        <v>407</v>
      </c>
      <c r="C79" s="37" t="s">
        <v>162</v>
      </c>
      <c r="D79" s="37" t="s">
        <v>398</v>
      </c>
      <c r="F79" s="37">
        <v>18</v>
      </c>
      <c r="G79" s="37">
        <v>1</v>
      </c>
    </row>
    <row r="80" spans="1:7" x14ac:dyDescent="0.3">
      <c r="A80" s="39" t="s">
        <v>410</v>
      </c>
      <c r="B80" s="38" t="s">
        <v>409</v>
      </c>
      <c r="C80" s="37" t="s">
        <v>162</v>
      </c>
      <c r="D80" s="37" t="s">
        <v>398</v>
      </c>
      <c r="F80" s="37">
        <v>13</v>
      </c>
      <c r="G80" s="37">
        <v>1</v>
      </c>
    </row>
    <row r="81" spans="1:7" x14ac:dyDescent="0.3">
      <c r="A81" s="39" t="s">
        <v>412</v>
      </c>
      <c r="B81" s="38" t="s">
        <v>411</v>
      </c>
      <c r="C81" s="37" t="s">
        <v>162</v>
      </c>
      <c r="D81" s="37" t="s">
        <v>398</v>
      </c>
      <c r="F81" s="37">
        <v>6</v>
      </c>
      <c r="G81" s="37">
        <v>1</v>
      </c>
    </row>
    <row r="82" spans="1:7" x14ac:dyDescent="0.3">
      <c r="A82" s="39" t="s">
        <v>414</v>
      </c>
      <c r="B82" s="38" t="s">
        <v>413</v>
      </c>
      <c r="C82" s="37" t="s">
        <v>163</v>
      </c>
      <c r="D82" s="37" t="s">
        <v>415</v>
      </c>
      <c r="E82" s="37">
        <v>2</v>
      </c>
      <c r="F82" s="37">
        <v>166</v>
      </c>
      <c r="G82" s="37">
        <v>1</v>
      </c>
    </row>
    <row r="83" spans="1:7" x14ac:dyDescent="0.3">
      <c r="A83" s="39" t="s">
        <v>417</v>
      </c>
      <c r="B83" s="38" t="s">
        <v>416</v>
      </c>
      <c r="C83" s="37" t="s">
        <v>163</v>
      </c>
      <c r="D83" s="37" t="s">
        <v>415</v>
      </c>
      <c r="E83" s="37">
        <v>1</v>
      </c>
      <c r="F83" s="37">
        <v>52</v>
      </c>
      <c r="G83" s="37">
        <v>1</v>
      </c>
    </row>
    <row r="84" spans="1:7" x14ac:dyDescent="0.3">
      <c r="A84" s="39" t="s">
        <v>419</v>
      </c>
      <c r="B84" s="38" t="s">
        <v>418</v>
      </c>
      <c r="C84" s="37" t="s">
        <v>163</v>
      </c>
      <c r="D84" s="37" t="s">
        <v>415</v>
      </c>
      <c r="F84" s="37">
        <v>42</v>
      </c>
      <c r="G84" s="37">
        <v>1</v>
      </c>
    </row>
    <row r="85" spans="1:7" x14ac:dyDescent="0.3">
      <c r="A85" s="39" t="s">
        <v>421</v>
      </c>
      <c r="B85" s="38" t="s">
        <v>420</v>
      </c>
      <c r="C85" s="37" t="s">
        <v>163</v>
      </c>
      <c r="D85" s="37" t="s">
        <v>415</v>
      </c>
      <c r="F85" s="37">
        <v>37</v>
      </c>
      <c r="G85" s="37">
        <v>1</v>
      </c>
    </row>
    <row r="86" spans="1:7" x14ac:dyDescent="0.3">
      <c r="A86" s="39" t="s">
        <v>423</v>
      </c>
      <c r="B86" s="38" t="s">
        <v>422</v>
      </c>
      <c r="C86" s="37" t="s">
        <v>163</v>
      </c>
      <c r="D86" s="37" t="s">
        <v>415</v>
      </c>
      <c r="F86" s="37">
        <v>34</v>
      </c>
      <c r="G86" s="37">
        <v>1</v>
      </c>
    </row>
    <row r="87" spans="1:7" x14ac:dyDescent="0.3">
      <c r="A87" s="39" t="s">
        <v>425</v>
      </c>
      <c r="B87" s="38" t="s">
        <v>424</v>
      </c>
      <c r="C87" s="37" t="s">
        <v>163</v>
      </c>
      <c r="D87" s="37" t="s">
        <v>415</v>
      </c>
      <c r="F87" s="37">
        <v>34</v>
      </c>
      <c r="G87" s="37">
        <v>1</v>
      </c>
    </row>
    <row r="88" spans="1:7" x14ac:dyDescent="0.3">
      <c r="A88" s="39" t="s">
        <v>427</v>
      </c>
      <c r="B88" s="38" t="s">
        <v>426</v>
      </c>
      <c r="C88" s="37" t="s">
        <v>163</v>
      </c>
      <c r="D88" s="37" t="s">
        <v>415</v>
      </c>
      <c r="F88" s="37">
        <v>32</v>
      </c>
      <c r="G88" s="37">
        <v>1</v>
      </c>
    </row>
    <row r="89" spans="1:7" x14ac:dyDescent="0.3">
      <c r="A89" s="39" t="s">
        <v>429</v>
      </c>
      <c r="B89" s="38" t="s">
        <v>428</v>
      </c>
      <c r="C89" s="37" t="s">
        <v>163</v>
      </c>
      <c r="D89" s="37" t="s">
        <v>415</v>
      </c>
      <c r="F89" s="37">
        <v>30</v>
      </c>
      <c r="G89" s="37">
        <v>1</v>
      </c>
    </row>
    <row r="90" spans="1:7" x14ac:dyDescent="0.3">
      <c r="A90" s="39" t="s">
        <v>431</v>
      </c>
      <c r="B90" s="38" t="s">
        <v>430</v>
      </c>
      <c r="C90" s="37" t="s">
        <v>163</v>
      </c>
      <c r="D90" s="37" t="s">
        <v>415</v>
      </c>
      <c r="F90" s="37">
        <v>26</v>
      </c>
      <c r="G90" s="37">
        <v>1</v>
      </c>
    </row>
    <row r="91" spans="1:7" x14ac:dyDescent="0.3">
      <c r="A91" s="39" t="s">
        <v>433</v>
      </c>
      <c r="B91" s="38" t="s">
        <v>432</v>
      </c>
      <c r="C91" s="37" t="s">
        <v>163</v>
      </c>
      <c r="D91" s="37" t="s">
        <v>415</v>
      </c>
      <c r="F91" s="37">
        <v>22</v>
      </c>
      <c r="G91" s="37">
        <v>1</v>
      </c>
    </row>
    <row r="92" spans="1:7" x14ac:dyDescent="0.3">
      <c r="A92" s="39" t="s">
        <v>435</v>
      </c>
      <c r="B92" s="38" t="s">
        <v>434</v>
      </c>
      <c r="C92" s="37" t="s">
        <v>163</v>
      </c>
      <c r="D92" s="37" t="s">
        <v>415</v>
      </c>
      <c r="F92" s="37">
        <v>22</v>
      </c>
      <c r="G92" s="37">
        <v>1</v>
      </c>
    </row>
    <row r="93" spans="1:7" x14ac:dyDescent="0.3">
      <c r="A93" s="39" t="s">
        <v>437</v>
      </c>
      <c r="B93" s="38" t="s">
        <v>436</v>
      </c>
      <c r="C93" s="37" t="s">
        <v>163</v>
      </c>
      <c r="D93" s="37" t="s">
        <v>415</v>
      </c>
      <c r="F93" s="37">
        <v>19</v>
      </c>
      <c r="G93" s="37">
        <v>1</v>
      </c>
    </row>
    <row r="94" spans="1:7" x14ac:dyDescent="0.3">
      <c r="A94" s="39" t="s">
        <v>439</v>
      </c>
      <c r="B94" s="38" t="s">
        <v>438</v>
      </c>
      <c r="C94" s="37" t="s">
        <v>163</v>
      </c>
      <c r="D94" s="37" t="s">
        <v>415</v>
      </c>
      <c r="F94" s="37">
        <v>14</v>
      </c>
      <c r="G94" s="37">
        <v>1</v>
      </c>
    </row>
    <row r="95" spans="1:7" x14ac:dyDescent="0.3">
      <c r="A95" s="39" t="s">
        <v>441</v>
      </c>
      <c r="B95" s="38" t="s">
        <v>440</v>
      </c>
      <c r="C95" s="37" t="s">
        <v>163</v>
      </c>
      <c r="D95" s="37" t="s">
        <v>415</v>
      </c>
      <c r="F95" s="37">
        <v>13</v>
      </c>
      <c r="G95" s="37">
        <v>1</v>
      </c>
    </row>
    <row r="96" spans="1:7" x14ac:dyDescent="0.3">
      <c r="A96" s="39" t="s">
        <v>443</v>
      </c>
      <c r="B96" s="38" t="s">
        <v>442</v>
      </c>
      <c r="C96" s="37" t="s">
        <v>164</v>
      </c>
      <c r="D96" s="37" t="s">
        <v>444</v>
      </c>
      <c r="E96" s="37">
        <v>5</v>
      </c>
      <c r="F96" s="37">
        <v>654</v>
      </c>
      <c r="G96" s="37">
        <v>1</v>
      </c>
    </row>
    <row r="97" spans="1:7" x14ac:dyDescent="0.3">
      <c r="A97" s="39" t="s">
        <v>446</v>
      </c>
      <c r="B97" s="38" t="s">
        <v>445</v>
      </c>
      <c r="C97" s="37" t="s">
        <v>164</v>
      </c>
      <c r="D97" s="37" t="s">
        <v>444</v>
      </c>
      <c r="E97" s="37">
        <v>1</v>
      </c>
      <c r="F97" s="37">
        <v>392</v>
      </c>
      <c r="G97" s="37">
        <v>1</v>
      </c>
    </row>
    <row r="98" spans="1:7" x14ac:dyDescent="0.3">
      <c r="A98" s="39" t="s">
        <v>448</v>
      </c>
      <c r="B98" s="38" t="s">
        <v>447</v>
      </c>
      <c r="C98" s="37" t="s">
        <v>164</v>
      </c>
      <c r="D98" s="37" t="s">
        <v>444</v>
      </c>
      <c r="E98" s="37">
        <v>2</v>
      </c>
      <c r="F98" s="37">
        <v>265</v>
      </c>
      <c r="G98" s="37">
        <v>1</v>
      </c>
    </row>
    <row r="99" spans="1:7" x14ac:dyDescent="0.3">
      <c r="A99" s="39" t="s">
        <v>450</v>
      </c>
      <c r="B99" s="38" t="s">
        <v>449</v>
      </c>
      <c r="C99" s="37" t="s">
        <v>164</v>
      </c>
      <c r="D99" s="37" t="s">
        <v>444</v>
      </c>
      <c r="F99" s="37">
        <v>81</v>
      </c>
      <c r="G99" s="37">
        <v>1</v>
      </c>
    </row>
    <row r="100" spans="1:7" x14ac:dyDescent="0.3">
      <c r="A100" s="39" t="s">
        <v>452</v>
      </c>
      <c r="B100" s="38" t="s">
        <v>451</v>
      </c>
      <c r="C100" s="37" t="s">
        <v>164</v>
      </c>
      <c r="D100" s="37" t="s">
        <v>444</v>
      </c>
      <c r="F100" s="37">
        <v>77</v>
      </c>
      <c r="G100" s="37">
        <v>1</v>
      </c>
    </row>
    <row r="101" spans="1:7" x14ac:dyDescent="0.3">
      <c r="A101" s="39" t="s">
        <v>454</v>
      </c>
      <c r="B101" s="38" t="s">
        <v>453</v>
      </c>
      <c r="C101" s="37" t="s">
        <v>164</v>
      </c>
      <c r="D101" s="37" t="s">
        <v>444</v>
      </c>
      <c r="F101" s="37">
        <v>68</v>
      </c>
      <c r="G101" s="37">
        <v>1</v>
      </c>
    </row>
    <row r="102" spans="1:7" x14ac:dyDescent="0.3">
      <c r="A102" s="39" t="s">
        <v>456</v>
      </c>
      <c r="B102" s="38" t="s">
        <v>455</v>
      </c>
      <c r="C102" s="37" t="s">
        <v>164</v>
      </c>
      <c r="D102" s="37" t="s">
        <v>444</v>
      </c>
      <c r="F102" s="37">
        <v>54</v>
      </c>
      <c r="G102" s="37">
        <v>1</v>
      </c>
    </row>
    <row r="103" spans="1:7" x14ac:dyDescent="0.3">
      <c r="A103" s="39" t="s">
        <v>458</v>
      </c>
      <c r="B103" s="38" t="s">
        <v>457</v>
      </c>
      <c r="C103" s="37" t="s">
        <v>164</v>
      </c>
      <c r="D103" s="37" t="s">
        <v>444</v>
      </c>
      <c r="F103" s="37">
        <v>52</v>
      </c>
      <c r="G103" s="37">
        <v>1</v>
      </c>
    </row>
    <row r="104" spans="1:7" x14ac:dyDescent="0.3">
      <c r="A104" s="39" t="s">
        <v>460</v>
      </c>
      <c r="B104" s="38" t="s">
        <v>459</v>
      </c>
      <c r="C104" s="37" t="s">
        <v>164</v>
      </c>
      <c r="D104" s="37" t="s">
        <v>444</v>
      </c>
      <c r="F104" s="37">
        <v>43</v>
      </c>
      <c r="G104" s="37">
        <v>1</v>
      </c>
    </row>
    <row r="105" spans="1:7" x14ac:dyDescent="0.3">
      <c r="A105" s="39" t="s">
        <v>462</v>
      </c>
      <c r="B105" s="38" t="s">
        <v>461</v>
      </c>
      <c r="C105" s="37" t="s">
        <v>164</v>
      </c>
      <c r="D105" s="37" t="s">
        <v>444</v>
      </c>
      <c r="F105" s="37">
        <v>42</v>
      </c>
      <c r="G105" s="37">
        <v>1</v>
      </c>
    </row>
    <row r="106" spans="1:7" x14ac:dyDescent="0.3">
      <c r="A106" s="39" t="s">
        <v>464</v>
      </c>
      <c r="B106" s="38" t="s">
        <v>463</v>
      </c>
      <c r="C106" s="37" t="s">
        <v>164</v>
      </c>
      <c r="D106" s="37" t="s">
        <v>444</v>
      </c>
      <c r="F106" s="37">
        <v>29</v>
      </c>
      <c r="G106" s="37">
        <v>1</v>
      </c>
    </row>
    <row r="107" spans="1:7" x14ac:dyDescent="0.3">
      <c r="A107" s="39" t="s">
        <v>466</v>
      </c>
      <c r="B107" s="38" t="s">
        <v>465</v>
      </c>
      <c r="C107" s="37" t="s">
        <v>164</v>
      </c>
      <c r="D107" s="37" t="s">
        <v>444</v>
      </c>
      <c r="F107" s="37">
        <v>27</v>
      </c>
      <c r="G107" s="37">
        <v>1</v>
      </c>
    </row>
    <row r="108" spans="1:7" x14ac:dyDescent="0.3">
      <c r="A108" s="39" t="s">
        <v>468</v>
      </c>
      <c r="B108" s="38" t="s">
        <v>467</v>
      </c>
      <c r="C108" s="37" t="s">
        <v>164</v>
      </c>
      <c r="D108" s="37" t="s">
        <v>444</v>
      </c>
      <c r="F108" s="37">
        <v>26</v>
      </c>
      <c r="G108" s="37">
        <v>1</v>
      </c>
    </row>
    <row r="109" spans="1:7" x14ac:dyDescent="0.3">
      <c r="A109" s="39" t="s">
        <v>470</v>
      </c>
      <c r="B109" s="38" t="s">
        <v>469</v>
      </c>
      <c r="C109" s="37" t="s">
        <v>164</v>
      </c>
      <c r="D109" s="37" t="s">
        <v>444</v>
      </c>
      <c r="F109" s="37">
        <v>23</v>
      </c>
      <c r="G109" s="37">
        <v>1</v>
      </c>
    </row>
    <row r="110" spans="1:7" x14ac:dyDescent="0.3">
      <c r="A110" s="39" t="s">
        <v>472</v>
      </c>
      <c r="B110" s="38" t="s">
        <v>471</v>
      </c>
      <c r="C110" s="37" t="s">
        <v>164</v>
      </c>
      <c r="D110" s="37" t="s">
        <v>444</v>
      </c>
      <c r="F110" s="37">
        <v>22</v>
      </c>
      <c r="G110" s="37">
        <v>1</v>
      </c>
    </row>
    <row r="111" spans="1:7" x14ac:dyDescent="0.3">
      <c r="A111" s="39" t="s">
        <v>474</v>
      </c>
      <c r="B111" s="38" t="s">
        <v>473</v>
      </c>
      <c r="C111" s="37" t="s">
        <v>164</v>
      </c>
      <c r="D111" s="37" t="s">
        <v>444</v>
      </c>
      <c r="F111" s="37">
        <v>22</v>
      </c>
      <c r="G111" s="37">
        <v>1</v>
      </c>
    </row>
    <row r="112" spans="1:7" x14ac:dyDescent="0.3">
      <c r="A112" s="39" t="s">
        <v>476</v>
      </c>
      <c r="B112" s="38" t="s">
        <v>475</v>
      </c>
      <c r="C112" s="37" t="s">
        <v>164</v>
      </c>
      <c r="D112" s="37" t="s">
        <v>444</v>
      </c>
      <c r="F112" s="37">
        <v>22</v>
      </c>
      <c r="G112" s="37">
        <v>1</v>
      </c>
    </row>
    <row r="113" spans="1:7" x14ac:dyDescent="0.3">
      <c r="A113" s="39" t="s">
        <v>478</v>
      </c>
      <c r="B113" s="38" t="s">
        <v>477</v>
      </c>
      <c r="C113" s="37" t="s">
        <v>164</v>
      </c>
      <c r="D113" s="37" t="s">
        <v>444</v>
      </c>
      <c r="F113" s="37">
        <v>20</v>
      </c>
      <c r="G113" s="37">
        <v>1</v>
      </c>
    </row>
    <row r="114" spans="1:7" x14ac:dyDescent="0.3">
      <c r="A114" s="39" t="s">
        <v>480</v>
      </c>
      <c r="B114" s="38" t="s">
        <v>479</v>
      </c>
      <c r="C114" s="37" t="s">
        <v>164</v>
      </c>
      <c r="D114" s="37" t="s">
        <v>444</v>
      </c>
      <c r="F114" s="37">
        <v>20</v>
      </c>
      <c r="G114" s="37">
        <v>1</v>
      </c>
    </row>
    <row r="115" spans="1:7" x14ac:dyDescent="0.3">
      <c r="A115" s="39" t="s">
        <v>482</v>
      </c>
      <c r="B115" s="38" t="s">
        <v>481</v>
      </c>
      <c r="C115" s="37" t="s">
        <v>164</v>
      </c>
      <c r="D115" s="37" t="s">
        <v>444</v>
      </c>
      <c r="F115" s="37">
        <v>19</v>
      </c>
      <c r="G115" s="37">
        <v>1</v>
      </c>
    </row>
    <row r="116" spans="1:7" x14ac:dyDescent="0.3">
      <c r="A116" s="39" t="s">
        <v>484</v>
      </c>
      <c r="B116" s="38" t="s">
        <v>483</v>
      </c>
      <c r="C116" s="37" t="s">
        <v>164</v>
      </c>
      <c r="D116" s="37" t="s">
        <v>444</v>
      </c>
      <c r="F116" s="37">
        <v>19</v>
      </c>
      <c r="G116" s="37">
        <v>1</v>
      </c>
    </row>
    <row r="117" spans="1:7" x14ac:dyDescent="0.3">
      <c r="A117" s="39" t="s">
        <v>486</v>
      </c>
      <c r="B117" s="38" t="s">
        <v>485</v>
      </c>
      <c r="C117" s="37" t="s">
        <v>164</v>
      </c>
      <c r="D117" s="37" t="s">
        <v>444</v>
      </c>
      <c r="F117" s="37">
        <v>18</v>
      </c>
      <c r="G117" s="37">
        <v>1</v>
      </c>
    </row>
    <row r="118" spans="1:7" x14ac:dyDescent="0.3">
      <c r="A118" s="39" t="s">
        <v>488</v>
      </c>
      <c r="B118" s="38" t="s">
        <v>487</v>
      </c>
      <c r="C118" s="37" t="s">
        <v>164</v>
      </c>
      <c r="D118" s="37" t="s">
        <v>444</v>
      </c>
      <c r="F118" s="37">
        <v>16</v>
      </c>
      <c r="G118" s="37">
        <v>1</v>
      </c>
    </row>
    <row r="119" spans="1:7" x14ac:dyDescent="0.3">
      <c r="A119" s="39" t="s">
        <v>490</v>
      </c>
      <c r="B119" s="38" t="s">
        <v>489</v>
      </c>
      <c r="C119" s="37" t="s">
        <v>164</v>
      </c>
      <c r="D119" s="37" t="s">
        <v>444</v>
      </c>
      <c r="F119" s="37">
        <v>13</v>
      </c>
      <c r="G119" s="37">
        <v>1</v>
      </c>
    </row>
    <row r="120" spans="1:7" x14ac:dyDescent="0.3">
      <c r="A120" s="39" t="s">
        <v>492</v>
      </c>
      <c r="B120" s="38" t="s">
        <v>491</v>
      </c>
      <c r="C120" s="37" t="s">
        <v>164</v>
      </c>
      <c r="D120" s="37" t="s">
        <v>444</v>
      </c>
      <c r="F120" s="37">
        <v>12</v>
      </c>
      <c r="G120" s="37">
        <v>1</v>
      </c>
    </row>
    <row r="121" spans="1:7" x14ac:dyDescent="0.3">
      <c r="A121" s="39" t="s">
        <v>494</v>
      </c>
      <c r="B121" s="38" t="s">
        <v>493</v>
      </c>
      <c r="C121" s="37" t="s">
        <v>164</v>
      </c>
      <c r="D121" s="37" t="s">
        <v>444</v>
      </c>
      <c r="F121" s="37">
        <v>12</v>
      </c>
      <c r="G121" s="37">
        <v>1</v>
      </c>
    </row>
    <row r="122" spans="1:7" x14ac:dyDescent="0.3">
      <c r="A122" s="39" t="s">
        <v>496</v>
      </c>
      <c r="B122" s="38" t="s">
        <v>495</v>
      </c>
      <c r="C122" s="37" t="s">
        <v>164</v>
      </c>
      <c r="D122" s="37" t="s">
        <v>444</v>
      </c>
      <c r="F122" s="37">
        <v>10</v>
      </c>
      <c r="G122" s="37">
        <v>1</v>
      </c>
    </row>
    <row r="123" spans="1:7" x14ac:dyDescent="0.3">
      <c r="A123" s="39" t="s">
        <v>498</v>
      </c>
      <c r="B123" s="38" t="s">
        <v>497</v>
      </c>
      <c r="C123" s="37" t="s">
        <v>164</v>
      </c>
      <c r="D123" s="37" t="s">
        <v>444</v>
      </c>
      <c r="F123" s="37">
        <v>8</v>
      </c>
      <c r="G123" s="37">
        <v>1</v>
      </c>
    </row>
    <row r="124" spans="1:7" x14ac:dyDescent="0.3">
      <c r="A124" s="39" t="s">
        <v>500</v>
      </c>
      <c r="B124" s="38" t="s">
        <v>499</v>
      </c>
      <c r="C124" s="37" t="s">
        <v>164</v>
      </c>
      <c r="D124" s="37" t="s">
        <v>444</v>
      </c>
      <c r="F124" s="37">
        <v>8</v>
      </c>
      <c r="G124" s="37">
        <v>1</v>
      </c>
    </row>
    <row r="125" spans="1:7" x14ac:dyDescent="0.3">
      <c r="A125" s="39" t="s">
        <v>502</v>
      </c>
      <c r="B125" s="38" t="s">
        <v>501</v>
      </c>
      <c r="C125" s="37" t="s">
        <v>164</v>
      </c>
      <c r="D125" s="37" t="s">
        <v>444</v>
      </c>
      <c r="F125" s="37">
        <v>6</v>
      </c>
      <c r="G125" s="37">
        <v>1</v>
      </c>
    </row>
    <row r="126" spans="1:7" x14ac:dyDescent="0.3">
      <c r="A126" s="39" t="s">
        <v>504</v>
      </c>
      <c r="B126" s="38" t="s">
        <v>503</v>
      </c>
      <c r="C126" s="37" t="s">
        <v>164</v>
      </c>
      <c r="D126" s="37" t="s">
        <v>444</v>
      </c>
      <c r="F126" s="37">
        <v>6</v>
      </c>
      <c r="G126" s="37">
        <v>1</v>
      </c>
    </row>
    <row r="127" spans="1:7" x14ac:dyDescent="0.3">
      <c r="A127" s="39" t="s">
        <v>506</v>
      </c>
      <c r="B127" s="38" t="s">
        <v>505</v>
      </c>
      <c r="C127" s="37" t="s">
        <v>164</v>
      </c>
      <c r="D127" s="37" t="s">
        <v>444</v>
      </c>
      <c r="F127" s="37">
        <v>5</v>
      </c>
      <c r="G127" s="37">
        <v>1</v>
      </c>
    </row>
    <row r="128" spans="1:7" x14ac:dyDescent="0.3">
      <c r="A128" s="39" t="s">
        <v>508</v>
      </c>
      <c r="B128" s="38" t="s">
        <v>507</v>
      </c>
      <c r="C128" s="37" t="s">
        <v>164</v>
      </c>
      <c r="D128" s="37" t="s">
        <v>444</v>
      </c>
      <c r="F128" s="37">
        <v>3</v>
      </c>
      <c r="G128" s="37">
        <v>1</v>
      </c>
    </row>
    <row r="129" spans="1:7" x14ac:dyDescent="0.3">
      <c r="A129" s="39" t="s">
        <v>102</v>
      </c>
      <c r="B129" s="38" t="s">
        <v>509</v>
      </c>
      <c r="C129" s="37" t="s">
        <v>165</v>
      </c>
      <c r="D129" s="37" t="s">
        <v>510</v>
      </c>
      <c r="E129" s="37">
        <v>9</v>
      </c>
      <c r="F129" s="37">
        <v>1867</v>
      </c>
      <c r="G129" s="37">
        <v>1</v>
      </c>
    </row>
    <row r="130" spans="1:7" x14ac:dyDescent="0.3">
      <c r="A130" s="39" t="s">
        <v>512</v>
      </c>
      <c r="B130" s="38" t="s">
        <v>511</v>
      </c>
      <c r="C130" s="37" t="s">
        <v>165</v>
      </c>
      <c r="D130" s="37" t="s">
        <v>510</v>
      </c>
      <c r="E130" s="37">
        <v>2</v>
      </c>
      <c r="F130" s="37">
        <v>89</v>
      </c>
      <c r="G130" s="37">
        <v>1</v>
      </c>
    </row>
    <row r="131" spans="1:7" x14ac:dyDescent="0.3">
      <c r="A131" s="39" t="s">
        <v>514</v>
      </c>
      <c r="B131" s="38" t="s">
        <v>513</v>
      </c>
      <c r="C131" s="37" t="s">
        <v>165</v>
      </c>
      <c r="D131" s="37" t="s">
        <v>510</v>
      </c>
      <c r="E131" s="37">
        <v>1</v>
      </c>
      <c r="F131" s="37">
        <v>81</v>
      </c>
      <c r="G131" s="37">
        <v>1</v>
      </c>
    </row>
    <row r="132" spans="1:7" x14ac:dyDescent="0.3">
      <c r="A132" s="39" t="s">
        <v>516</v>
      </c>
      <c r="B132" s="38" t="s">
        <v>515</v>
      </c>
      <c r="C132" s="37" t="s">
        <v>165</v>
      </c>
      <c r="D132" s="37" t="s">
        <v>510</v>
      </c>
      <c r="F132" s="37">
        <v>56</v>
      </c>
      <c r="G132" s="37">
        <v>1</v>
      </c>
    </row>
    <row r="133" spans="1:7" x14ac:dyDescent="0.3">
      <c r="A133" s="39" t="s">
        <v>518</v>
      </c>
      <c r="B133" s="38" t="s">
        <v>517</v>
      </c>
      <c r="C133" s="37" t="s">
        <v>165</v>
      </c>
      <c r="D133" s="37" t="s">
        <v>510</v>
      </c>
      <c r="F133" s="37">
        <v>17</v>
      </c>
      <c r="G133" s="37">
        <v>1</v>
      </c>
    </row>
    <row r="134" spans="1:7" x14ac:dyDescent="0.3">
      <c r="A134" s="39" t="s">
        <v>520</v>
      </c>
      <c r="B134" s="38" t="s">
        <v>519</v>
      </c>
      <c r="C134" s="37" t="s">
        <v>165</v>
      </c>
      <c r="D134" s="37" t="s">
        <v>510</v>
      </c>
      <c r="F134" s="37">
        <v>12</v>
      </c>
    </row>
    <row r="135" spans="1:7" x14ac:dyDescent="0.3">
      <c r="A135" s="39" t="s">
        <v>522</v>
      </c>
      <c r="B135" s="38" t="s">
        <v>521</v>
      </c>
      <c r="C135" s="37" t="s">
        <v>165</v>
      </c>
      <c r="D135" s="37" t="s">
        <v>510</v>
      </c>
      <c r="F135" s="37">
        <v>11</v>
      </c>
      <c r="G135" s="37">
        <v>1</v>
      </c>
    </row>
    <row r="136" spans="1:7" x14ac:dyDescent="0.3">
      <c r="A136" s="39" t="s">
        <v>524</v>
      </c>
      <c r="B136" s="38" t="s">
        <v>523</v>
      </c>
      <c r="C136" s="37" t="s">
        <v>165</v>
      </c>
      <c r="D136" s="37" t="s">
        <v>510</v>
      </c>
      <c r="F136" s="37">
        <v>11</v>
      </c>
      <c r="G136" s="37">
        <v>1</v>
      </c>
    </row>
    <row r="137" spans="1:7" x14ac:dyDescent="0.3">
      <c r="A137" s="39" t="s">
        <v>526</v>
      </c>
      <c r="B137" s="38" t="s">
        <v>525</v>
      </c>
      <c r="C137" s="37" t="s">
        <v>165</v>
      </c>
      <c r="D137" s="37" t="s">
        <v>510</v>
      </c>
      <c r="F137" s="37">
        <v>9</v>
      </c>
    </row>
    <row r="138" spans="1:7" x14ac:dyDescent="0.3">
      <c r="A138" s="39" t="s">
        <v>528</v>
      </c>
      <c r="B138" s="38" t="s">
        <v>527</v>
      </c>
      <c r="C138" s="37" t="s">
        <v>165</v>
      </c>
      <c r="D138" s="37" t="s">
        <v>510</v>
      </c>
      <c r="F138" s="37">
        <v>8</v>
      </c>
      <c r="G138" s="37">
        <v>1</v>
      </c>
    </row>
    <row r="139" spans="1:7" x14ac:dyDescent="0.3">
      <c r="A139" s="39" t="s">
        <v>530</v>
      </c>
      <c r="B139" s="38" t="s">
        <v>529</v>
      </c>
      <c r="C139" s="37" t="s">
        <v>165</v>
      </c>
      <c r="D139" s="37" t="s">
        <v>510</v>
      </c>
      <c r="F139" s="37">
        <v>8</v>
      </c>
    </row>
    <row r="140" spans="1:7" x14ac:dyDescent="0.3">
      <c r="A140" s="39" t="s">
        <v>532</v>
      </c>
      <c r="B140" s="38" t="s">
        <v>531</v>
      </c>
      <c r="C140" s="37" t="s">
        <v>165</v>
      </c>
      <c r="D140" s="37" t="s">
        <v>510</v>
      </c>
      <c r="F140" s="37">
        <v>8</v>
      </c>
      <c r="G140" s="37">
        <v>1</v>
      </c>
    </row>
    <row r="141" spans="1:7" x14ac:dyDescent="0.3">
      <c r="A141" s="39" t="s">
        <v>534</v>
      </c>
      <c r="B141" s="38" t="s">
        <v>533</v>
      </c>
      <c r="C141" s="37" t="s">
        <v>165</v>
      </c>
      <c r="D141" s="37" t="s">
        <v>510</v>
      </c>
      <c r="F141" s="37">
        <v>7</v>
      </c>
      <c r="G141" s="37">
        <v>1</v>
      </c>
    </row>
    <row r="142" spans="1:7" x14ac:dyDescent="0.3">
      <c r="A142" s="39" t="s">
        <v>536</v>
      </c>
      <c r="B142" s="38" t="s">
        <v>535</v>
      </c>
      <c r="C142" s="37" t="s">
        <v>165</v>
      </c>
      <c r="D142" s="37" t="s">
        <v>510</v>
      </c>
      <c r="F142" s="37">
        <v>7</v>
      </c>
    </row>
    <row r="143" spans="1:7" x14ac:dyDescent="0.3">
      <c r="A143" s="39" t="s">
        <v>538</v>
      </c>
      <c r="B143" s="38" t="s">
        <v>537</v>
      </c>
      <c r="C143" s="37" t="s">
        <v>165</v>
      </c>
      <c r="D143" s="37" t="s">
        <v>510</v>
      </c>
      <c r="F143" s="37">
        <v>5</v>
      </c>
      <c r="G143" s="37">
        <v>1</v>
      </c>
    </row>
    <row r="144" spans="1:7" x14ac:dyDescent="0.3">
      <c r="A144" s="39" t="s">
        <v>540</v>
      </c>
      <c r="B144" s="38" t="s">
        <v>539</v>
      </c>
      <c r="C144" s="37" t="s">
        <v>165</v>
      </c>
      <c r="D144" s="37" t="s">
        <v>510</v>
      </c>
      <c r="F144" s="37">
        <v>5</v>
      </c>
      <c r="G144" s="37">
        <v>1</v>
      </c>
    </row>
    <row r="145" spans="1:7" x14ac:dyDescent="0.3">
      <c r="A145" s="39" t="s">
        <v>542</v>
      </c>
      <c r="B145" s="38" t="s">
        <v>541</v>
      </c>
      <c r="C145" s="37" t="s">
        <v>165</v>
      </c>
      <c r="D145" s="37" t="s">
        <v>510</v>
      </c>
      <c r="F145" s="37">
        <v>5</v>
      </c>
      <c r="G145" s="37">
        <v>1</v>
      </c>
    </row>
    <row r="146" spans="1:7" x14ac:dyDescent="0.3">
      <c r="A146" s="39" t="s">
        <v>544</v>
      </c>
      <c r="B146" s="38" t="s">
        <v>543</v>
      </c>
      <c r="C146" s="37" t="s">
        <v>165</v>
      </c>
      <c r="D146" s="37" t="s">
        <v>510</v>
      </c>
      <c r="F146" s="37">
        <v>4</v>
      </c>
      <c r="G146" s="37">
        <v>1</v>
      </c>
    </row>
    <row r="147" spans="1:7" x14ac:dyDescent="0.3">
      <c r="A147" s="39" t="s">
        <v>546</v>
      </c>
      <c r="B147" s="38" t="s">
        <v>545</v>
      </c>
      <c r="C147" s="37" t="s">
        <v>165</v>
      </c>
      <c r="D147" s="37" t="s">
        <v>510</v>
      </c>
      <c r="F147" s="37">
        <v>4</v>
      </c>
      <c r="G147" s="37">
        <v>1</v>
      </c>
    </row>
    <row r="148" spans="1:7" x14ac:dyDescent="0.3">
      <c r="A148" s="39" t="s">
        <v>548</v>
      </c>
      <c r="B148" s="38" t="s">
        <v>547</v>
      </c>
      <c r="C148" s="37" t="s">
        <v>165</v>
      </c>
      <c r="D148" s="37" t="s">
        <v>510</v>
      </c>
      <c r="F148" s="37">
        <v>3</v>
      </c>
    </row>
    <row r="149" spans="1:7" x14ac:dyDescent="0.3">
      <c r="A149" s="39" t="s">
        <v>550</v>
      </c>
      <c r="B149" s="38" t="s">
        <v>549</v>
      </c>
      <c r="C149" s="37" t="s">
        <v>165</v>
      </c>
      <c r="D149" s="37">
        <v>1</v>
      </c>
      <c r="F149" s="37">
        <v>3</v>
      </c>
    </row>
    <row r="150" spans="1:7" x14ac:dyDescent="0.3">
      <c r="A150" s="39" t="s">
        <v>552</v>
      </c>
      <c r="B150" s="38" t="s">
        <v>551</v>
      </c>
      <c r="C150" s="37" t="s">
        <v>165</v>
      </c>
      <c r="D150" s="37" t="s">
        <v>510</v>
      </c>
      <c r="F150" s="37">
        <v>2</v>
      </c>
    </row>
    <row r="151" spans="1:7" x14ac:dyDescent="0.3">
      <c r="A151" s="39" t="s">
        <v>554</v>
      </c>
      <c r="B151" s="38" t="s">
        <v>553</v>
      </c>
      <c r="C151" s="37" t="s">
        <v>165</v>
      </c>
      <c r="D151" s="37" t="s">
        <v>510</v>
      </c>
      <c r="F151" s="37">
        <v>2</v>
      </c>
    </row>
    <row r="152" spans="1:7" x14ac:dyDescent="0.3">
      <c r="A152" s="39" t="s">
        <v>556</v>
      </c>
      <c r="B152" s="38" t="s">
        <v>555</v>
      </c>
      <c r="C152" s="37" t="s">
        <v>165</v>
      </c>
      <c r="D152" s="37" t="s">
        <v>510</v>
      </c>
      <c r="E152" s="37">
        <v>1</v>
      </c>
      <c r="F152" s="37">
        <v>1</v>
      </c>
      <c r="G152" s="37">
        <v>1</v>
      </c>
    </row>
    <row r="153" spans="1:7" x14ac:dyDescent="0.3">
      <c r="A153" s="39" t="s">
        <v>558</v>
      </c>
      <c r="B153" s="38" t="s">
        <v>557</v>
      </c>
      <c r="C153" s="37" t="s">
        <v>165</v>
      </c>
      <c r="D153" s="37" t="s">
        <v>510</v>
      </c>
    </row>
    <row r="154" spans="1:7" x14ac:dyDescent="0.3">
      <c r="A154" s="39" t="s">
        <v>560</v>
      </c>
      <c r="B154" s="38" t="s">
        <v>559</v>
      </c>
      <c r="C154" s="37" t="s">
        <v>165</v>
      </c>
      <c r="D154" s="37" t="s">
        <v>510</v>
      </c>
    </row>
    <row r="155" spans="1:7" x14ac:dyDescent="0.3">
      <c r="A155" s="39" t="s">
        <v>562</v>
      </c>
      <c r="B155" s="38" t="s">
        <v>561</v>
      </c>
      <c r="C155" s="37" t="s">
        <v>166</v>
      </c>
      <c r="D155" s="37" t="s">
        <v>563</v>
      </c>
      <c r="E155" s="37">
        <v>1</v>
      </c>
      <c r="F155" s="37">
        <v>285</v>
      </c>
      <c r="G155" s="37">
        <v>1</v>
      </c>
    </row>
    <row r="156" spans="1:7" x14ac:dyDescent="0.3">
      <c r="A156" s="39" t="s">
        <v>565</v>
      </c>
      <c r="B156" s="38" t="s">
        <v>564</v>
      </c>
      <c r="C156" s="37" t="s">
        <v>166</v>
      </c>
      <c r="D156" s="37" t="s">
        <v>563</v>
      </c>
      <c r="F156" s="37">
        <v>161</v>
      </c>
      <c r="G156" s="37">
        <v>1</v>
      </c>
    </row>
    <row r="157" spans="1:7" x14ac:dyDescent="0.3">
      <c r="A157" s="39" t="s">
        <v>567</v>
      </c>
      <c r="B157" s="38" t="s">
        <v>566</v>
      </c>
      <c r="C157" s="37" t="s">
        <v>166</v>
      </c>
      <c r="D157" s="37" t="s">
        <v>563</v>
      </c>
      <c r="F157" s="37">
        <v>150</v>
      </c>
      <c r="G157" s="37">
        <v>1</v>
      </c>
    </row>
    <row r="158" spans="1:7" x14ac:dyDescent="0.3">
      <c r="A158" s="39" t="s">
        <v>569</v>
      </c>
      <c r="B158" s="38" t="s">
        <v>568</v>
      </c>
      <c r="C158" s="37" t="s">
        <v>166</v>
      </c>
      <c r="D158" s="37" t="s">
        <v>563</v>
      </c>
      <c r="F158" s="37">
        <v>131</v>
      </c>
      <c r="G158" s="37">
        <v>1</v>
      </c>
    </row>
    <row r="159" spans="1:7" x14ac:dyDescent="0.3">
      <c r="A159" s="39" t="s">
        <v>571</v>
      </c>
      <c r="B159" s="38" t="s">
        <v>570</v>
      </c>
      <c r="C159" s="37" t="s">
        <v>166</v>
      </c>
      <c r="D159" s="37" t="s">
        <v>563</v>
      </c>
      <c r="F159" s="37">
        <v>68</v>
      </c>
      <c r="G159" s="37">
        <v>1</v>
      </c>
    </row>
    <row r="160" spans="1:7" x14ac:dyDescent="0.3">
      <c r="A160" s="39" t="s">
        <v>573</v>
      </c>
      <c r="B160" s="38" t="s">
        <v>572</v>
      </c>
      <c r="C160" s="37" t="s">
        <v>166</v>
      </c>
      <c r="D160" s="37" t="s">
        <v>563</v>
      </c>
      <c r="F160" s="37">
        <v>57</v>
      </c>
      <c r="G160" s="37">
        <v>1</v>
      </c>
    </row>
    <row r="161" spans="1:7" x14ac:dyDescent="0.3">
      <c r="A161" s="39" t="s">
        <v>575</v>
      </c>
      <c r="B161" s="38" t="s">
        <v>574</v>
      </c>
      <c r="C161" s="37" t="s">
        <v>166</v>
      </c>
      <c r="D161" s="37" t="s">
        <v>563</v>
      </c>
      <c r="F161" s="37">
        <v>52</v>
      </c>
      <c r="G161" s="37">
        <v>1</v>
      </c>
    </row>
    <row r="162" spans="1:7" x14ac:dyDescent="0.3">
      <c r="A162" s="39" t="s">
        <v>577</v>
      </c>
      <c r="B162" s="38" t="s">
        <v>576</v>
      </c>
      <c r="C162" s="37" t="s">
        <v>166</v>
      </c>
      <c r="D162" s="37" t="s">
        <v>563</v>
      </c>
      <c r="F162" s="37">
        <v>34</v>
      </c>
      <c r="G162" s="37">
        <v>1</v>
      </c>
    </row>
    <row r="163" spans="1:7" x14ac:dyDescent="0.3">
      <c r="A163" s="39" t="s">
        <v>579</v>
      </c>
      <c r="B163" s="38" t="s">
        <v>578</v>
      </c>
      <c r="C163" s="37" t="s">
        <v>166</v>
      </c>
      <c r="D163" s="37" t="s">
        <v>563</v>
      </c>
      <c r="F163" s="37">
        <v>27</v>
      </c>
      <c r="G163" s="37">
        <v>1</v>
      </c>
    </row>
    <row r="164" spans="1:7" x14ac:dyDescent="0.3">
      <c r="A164" s="39" t="s">
        <v>115</v>
      </c>
      <c r="B164" s="38" t="s">
        <v>580</v>
      </c>
      <c r="C164" s="37" t="s">
        <v>167</v>
      </c>
      <c r="D164" s="37" t="s">
        <v>581</v>
      </c>
      <c r="E164" s="37">
        <v>2</v>
      </c>
      <c r="F164" s="37">
        <v>71</v>
      </c>
      <c r="G164" s="37">
        <v>1</v>
      </c>
    </row>
    <row r="165" spans="1:7" x14ac:dyDescent="0.3">
      <c r="A165" s="39" t="s">
        <v>583</v>
      </c>
      <c r="B165" s="38" t="s">
        <v>582</v>
      </c>
      <c r="C165" s="37" t="s">
        <v>167</v>
      </c>
      <c r="D165" s="37" t="s">
        <v>581</v>
      </c>
      <c r="F165" s="37">
        <v>32</v>
      </c>
      <c r="G165" s="37">
        <v>1</v>
      </c>
    </row>
    <row r="166" spans="1:7" x14ac:dyDescent="0.3">
      <c r="A166" s="39" t="s">
        <v>585</v>
      </c>
      <c r="B166" s="38" t="s">
        <v>584</v>
      </c>
      <c r="C166" s="37" t="s">
        <v>167</v>
      </c>
      <c r="D166" s="37" t="s">
        <v>581</v>
      </c>
      <c r="F166" s="37">
        <v>17</v>
      </c>
      <c r="G166" s="37">
        <v>1</v>
      </c>
    </row>
    <row r="167" spans="1:7" x14ac:dyDescent="0.3">
      <c r="A167" s="39" t="s">
        <v>587</v>
      </c>
      <c r="B167" s="38" t="s">
        <v>586</v>
      </c>
      <c r="C167" s="37" t="s">
        <v>167</v>
      </c>
      <c r="D167" s="37" t="s">
        <v>581</v>
      </c>
      <c r="F167" s="37">
        <v>12</v>
      </c>
      <c r="G167" s="37">
        <v>1</v>
      </c>
    </row>
    <row r="168" spans="1:7" x14ac:dyDescent="0.3">
      <c r="A168" s="39" t="s">
        <v>589</v>
      </c>
      <c r="B168" s="38" t="s">
        <v>588</v>
      </c>
      <c r="C168" s="37" t="s">
        <v>167</v>
      </c>
      <c r="D168" s="37" t="s">
        <v>581</v>
      </c>
      <c r="F168" s="37">
        <v>11</v>
      </c>
      <c r="G168" s="37">
        <v>1</v>
      </c>
    </row>
    <row r="169" spans="1:7" x14ac:dyDescent="0.3">
      <c r="A169" s="39" t="s">
        <v>591</v>
      </c>
      <c r="B169" s="38" t="s">
        <v>590</v>
      </c>
      <c r="C169" s="37" t="s">
        <v>167</v>
      </c>
      <c r="D169" s="37" t="s">
        <v>581</v>
      </c>
      <c r="F169" s="37">
        <v>9</v>
      </c>
      <c r="G169" s="37">
        <v>1</v>
      </c>
    </row>
    <row r="170" spans="1:7" x14ac:dyDescent="0.3">
      <c r="A170" s="39" t="s">
        <v>593</v>
      </c>
      <c r="B170" s="38" t="s">
        <v>592</v>
      </c>
      <c r="C170" s="37" t="s">
        <v>167</v>
      </c>
      <c r="D170" s="37" t="s">
        <v>581</v>
      </c>
      <c r="F170" s="37">
        <v>8</v>
      </c>
      <c r="G170" s="37">
        <v>1</v>
      </c>
    </row>
    <row r="171" spans="1:7" x14ac:dyDescent="0.3">
      <c r="A171" s="39" t="s">
        <v>595</v>
      </c>
      <c r="B171" s="38" t="s">
        <v>594</v>
      </c>
      <c r="C171" s="37" t="s">
        <v>167</v>
      </c>
      <c r="D171" s="37" t="s">
        <v>581</v>
      </c>
      <c r="F171" s="37">
        <v>3</v>
      </c>
      <c r="G171" s="37">
        <v>1</v>
      </c>
    </row>
    <row r="172" spans="1:7" x14ac:dyDescent="0.3">
      <c r="A172" s="39" t="s">
        <v>597</v>
      </c>
      <c r="B172" s="38" t="s">
        <v>596</v>
      </c>
      <c r="C172" s="37" t="s">
        <v>168</v>
      </c>
      <c r="D172" s="37" t="s">
        <v>598</v>
      </c>
      <c r="E172" s="37">
        <v>1</v>
      </c>
      <c r="F172" s="37">
        <v>104</v>
      </c>
      <c r="G172" s="37">
        <v>1</v>
      </c>
    </row>
    <row r="173" spans="1:7" x14ac:dyDescent="0.3">
      <c r="A173" s="39" t="s">
        <v>600</v>
      </c>
      <c r="B173" s="38" t="s">
        <v>599</v>
      </c>
      <c r="C173" s="37" t="s">
        <v>168</v>
      </c>
      <c r="D173" s="37" t="s">
        <v>598</v>
      </c>
      <c r="E173" s="37">
        <v>1</v>
      </c>
      <c r="F173" s="37">
        <v>55</v>
      </c>
      <c r="G173" s="37">
        <v>1</v>
      </c>
    </row>
    <row r="174" spans="1:7" x14ac:dyDescent="0.3">
      <c r="A174" s="39" t="s">
        <v>602</v>
      </c>
      <c r="B174" s="38" t="s">
        <v>601</v>
      </c>
      <c r="C174" s="37" t="s">
        <v>168</v>
      </c>
      <c r="D174" s="37" t="s">
        <v>598</v>
      </c>
      <c r="F174" s="37">
        <v>10</v>
      </c>
      <c r="G174" s="37">
        <v>1</v>
      </c>
    </row>
    <row r="175" spans="1:7" x14ac:dyDescent="0.3">
      <c r="A175" s="39" t="s">
        <v>604</v>
      </c>
      <c r="B175" s="38" t="s">
        <v>603</v>
      </c>
      <c r="C175" s="37" t="s">
        <v>168</v>
      </c>
      <c r="D175" s="37" t="s">
        <v>598</v>
      </c>
      <c r="F175" s="37">
        <v>8</v>
      </c>
      <c r="G175" s="37">
        <v>1</v>
      </c>
    </row>
    <row r="176" spans="1:7" x14ac:dyDescent="0.3">
      <c r="A176" s="39" t="s">
        <v>606</v>
      </c>
      <c r="B176" s="38" t="s">
        <v>605</v>
      </c>
      <c r="C176" s="37" t="s">
        <v>168</v>
      </c>
      <c r="D176" s="37" t="s">
        <v>598</v>
      </c>
      <c r="F176" s="37">
        <v>4</v>
      </c>
      <c r="G176" s="37">
        <v>1</v>
      </c>
    </row>
    <row r="177" spans="1:7" x14ac:dyDescent="0.3">
      <c r="A177" s="39" t="s">
        <v>608</v>
      </c>
      <c r="B177" s="38" t="s">
        <v>607</v>
      </c>
      <c r="C177" s="37" t="s">
        <v>168</v>
      </c>
      <c r="D177" s="37" t="s">
        <v>598</v>
      </c>
      <c r="F177" s="37">
        <v>4</v>
      </c>
      <c r="G177" s="37">
        <v>1</v>
      </c>
    </row>
    <row r="178" spans="1:7" x14ac:dyDescent="0.3">
      <c r="A178" s="39" t="s">
        <v>610</v>
      </c>
      <c r="B178" s="38" t="s">
        <v>609</v>
      </c>
      <c r="C178" s="37" t="s">
        <v>168</v>
      </c>
      <c r="D178" s="37" t="s">
        <v>598</v>
      </c>
      <c r="F178" s="37">
        <v>3</v>
      </c>
      <c r="G178" s="37">
        <v>1</v>
      </c>
    </row>
    <row r="179" spans="1:7" x14ac:dyDescent="0.3">
      <c r="A179" s="39" t="s">
        <v>612</v>
      </c>
      <c r="B179" s="38" t="s">
        <v>611</v>
      </c>
      <c r="C179" s="37" t="s">
        <v>168</v>
      </c>
      <c r="D179" s="37" t="s">
        <v>598</v>
      </c>
      <c r="F179" s="37">
        <v>3</v>
      </c>
      <c r="G179" s="37">
        <v>1</v>
      </c>
    </row>
    <row r="180" spans="1:7" x14ac:dyDescent="0.3">
      <c r="A180" s="39" t="s">
        <v>614</v>
      </c>
      <c r="B180" s="38" t="s">
        <v>613</v>
      </c>
      <c r="C180" s="37" t="s">
        <v>168</v>
      </c>
      <c r="D180" s="37" t="s">
        <v>598</v>
      </c>
      <c r="F180" s="37">
        <v>3</v>
      </c>
      <c r="G180" s="37">
        <v>1</v>
      </c>
    </row>
    <row r="181" spans="1:7" x14ac:dyDescent="0.3">
      <c r="A181" s="39" t="s">
        <v>616</v>
      </c>
      <c r="B181" s="38" t="s">
        <v>615</v>
      </c>
      <c r="C181" s="37" t="s">
        <v>168</v>
      </c>
      <c r="D181" s="37" t="s">
        <v>598</v>
      </c>
      <c r="F181" s="37">
        <v>3</v>
      </c>
      <c r="G181" s="37">
        <v>1</v>
      </c>
    </row>
    <row r="182" spans="1:7" x14ac:dyDescent="0.3">
      <c r="A182" s="39" t="s">
        <v>618</v>
      </c>
      <c r="B182" s="38" t="s">
        <v>617</v>
      </c>
      <c r="C182" s="37" t="s">
        <v>168</v>
      </c>
      <c r="D182" s="37" t="s">
        <v>598</v>
      </c>
      <c r="F182" s="37">
        <v>2</v>
      </c>
      <c r="G182" s="37">
        <v>1</v>
      </c>
    </row>
    <row r="183" spans="1:7" x14ac:dyDescent="0.3">
      <c r="A183" s="39" t="s">
        <v>620</v>
      </c>
      <c r="B183" s="38" t="s">
        <v>619</v>
      </c>
      <c r="C183" s="37" t="s">
        <v>168</v>
      </c>
      <c r="D183" s="37" t="s">
        <v>598</v>
      </c>
      <c r="F183" s="37">
        <v>1</v>
      </c>
      <c r="G183" s="37">
        <v>1</v>
      </c>
    </row>
    <row r="184" spans="1:7" x14ac:dyDescent="0.3">
      <c r="A184" s="39" t="s">
        <v>622</v>
      </c>
      <c r="B184" s="38" t="s">
        <v>621</v>
      </c>
      <c r="C184" s="37" t="s">
        <v>168</v>
      </c>
      <c r="D184" s="37" t="s">
        <v>598</v>
      </c>
      <c r="F184" s="37">
        <v>1</v>
      </c>
      <c r="G184" s="37">
        <v>1</v>
      </c>
    </row>
    <row r="185" spans="1:7" x14ac:dyDescent="0.3">
      <c r="A185" s="39" t="s">
        <v>624</v>
      </c>
      <c r="B185" s="38" t="s">
        <v>623</v>
      </c>
      <c r="C185" s="37" t="s">
        <v>168</v>
      </c>
      <c r="D185" s="37" t="s">
        <v>598</v>
      </c>
      <c r="G185" s="37">
        <v>1</v>
      </c>
    </row>
    <row r="186" spans="1:7" x14ac:dyDescent="0.3">
      <c r="A186" s="39" t="s">
        <v>626</v>
      </c>
      <c r="B186" s="38" t="s">
        <v>625</v>
      </c>
      <c r="C186" s="37" t="s">
        <v>168</v>
      </c>
      <c r="D186" s="37" t="s">
        <v>598</v>
      </c>
      <c r="G186" s="37">
        <v>1</v>
      </c>
    </row>
    <row r="187" spans="1:7" x14ac:dyDescent="0.3">
      <c r="A187" s="39" t="s">
        <v>628</v>
      </c>
      <c r="B187" s="38" t="s">
        <v>627</v>
      </c>
      <c r="C187" s="37" t="s">
        <v>168</v>
      </c>
      <c r="D187" s="37" t="s">
        <v>598</v>
      </c>
    </row>
    <row r="188" spans="1:7" x14ac:dyDescent="0.3">
      <c r="A188" s="39" t="s">
        <v>630</v>
      </c>
      <c r="B188" s="38" t="s">
        <v>629</v>
      </c>
      <c r="C188" s="37" t="s">
        <v>169</v>
      </c>
      <c r="D188" s="37" t="s">
        <v>631</v>
      </c>
      <c r="E188" s="37">
        <v>1</v>
      </c>
      <c r="F188" s="37">
        <v>238</v>
      </c>
      <c r="G188" s="37">
        <v>1</v>
      </c>
    </row>
    <row r="189" spans="1:7" x14ac:dyDescent="0.3">
      <c r="A189" s="39" t="s">
        <v>633</v>
      </c>
      <c r="B189" s="38" t="s">
        <v>632</v>
      </c>
      <c r="C189" s="37" t="s">
        <v>169</v>
      </c>
      <c r="D189" s="37" t="s">
        <v>631</v>
      </c>
      <c r="E189" s="37">
        <v>1</v>
      </c>
      <c r="F189" s="37">
        <v>221</v>
      </c>
      <c r="G189" s="37">
        <v>1</v>
      </c>
    </row>
    <row r="190" spans="1:7" x14ac:dyDescent="0.3">
      <c r="A190" s="39" t="s">
        <v>635</v>
      </c>
      <c r="B190" s="38" t="s">
        <v>634</v>
      </c>
      <c r="C190" s="37" t="s">
        <v>169</v>
      </c>
      <c r="D190" s="37" t="s">
        <v>631</v>
      </c>
      <c r="F190" s="37">
        <v>18</v>
      </c>
      <c r="G190" s="37">
        <v>1</v>
      </c>
    </row>
    <row r="191" spans="1:7" x14ac:dyDescent="0.3">
      <c r="A191" s="39" t="s">
        <v>637</v>
      </c>
      <c r="B191" s="38" t="s">
        <v>636</v>
      </c>
      <c r="C191" s="37" t="s">
        <v>169</v>
      </c>
      <c r="D191" s="37" t="s">
        <v>631</v>
      </c>
      <c r="F191" s="37">
        <v>17</v>
      </c>
      <c r="G191" s="37">
        <v>1</v>
      </c>
    </row>
    <row r="192" spans="1:7" x14ac:dyDescent="0.3">
      <c r="A192" s="39" t="s">
        <v>639</v>
      </c>
      <c r="B192" s="38" t="s">
        <v>638</v>
      </c>
      <c r="C192" s="37" t="s">
        <v>169</v>
      </c>
      <c r="D192" s="37" t="s">
        <v>631</v>
      </c>
      <c r="F192" s="37">
        <v>14</v>
      </c>
      <c r="G192" s="37">
        <v>1</v>
      </c>
    </row>
    <row r="193" spans="1:7" x14ac:dyDescent="0.3">
      <c r="A193" s="39" t="s">
        <v>641</v>
      </c>
      <c r="B193" s="38" t="s">
        <v>640</v>
      </c>
      <c r="C193" s="37" t="s">
        <v>169</v>
      </c>
      <c r="D193" s="37" t="s">
        <v>631</v>
      </c>
      <c r="F193" s="37">
        <v>12</v>
      </c>
      <c r="G193" s="37">
        <v>1</v>
      </c>
    </row>
    <row r="194" spans="1:7" x14ac:dyDescent="0.3">
      <c r="A194" s="39" t="s">
        <v>643</v>
      </c>
      <c r="B194" s="38" t="s">
        <v>642</v>
      </c>
      <c r="C194" s="37" t="s">
        <v>169</v>
      </c>
      <c r="D194" s="37" t="s">
        <v>631</v>
      </c>
      <c r="F194" s="37">
        <v>9</v>
      </c>
      <c r="G194" s="37">
        <v>1</v>
      </c>
    </row>
    <row r="195" spans="1:7" x14ac:dyDescent="0.3">
      <c r="A195" s="39" t="s">
        <v>645</v>
      </c>
      <c r="B195" s="38" t="s">
        <v>644</v>
      </c>
      <c r="C195" s="37" t="s">
        <v>169</v>
      </c>
      <c r="D195" s="37" t="s">
        <v>631</v>
      </c>
      <c r="F195" s="37">
        <v>9</v>
      </c>
      <c r="G195" s="37">
        <v>1</v>
      </c>
    </row>
    <row r="196" spans="1:7" x14ac:dyDescent="0.3">
      <c r="A196" s="39" t="s">
        <v>647</v>
      </c>
      <c r="B196" s="38" t="s">
        <v>646</v>
      </c>
      <c r="C196" s="37" t="s">
        <v>169</v>
      </c>
      <c r="D196" s="37" t="s">
        <v>631</v>
      </c>
      <c r="F196" s="37">
        <v>9</v>
      </c>
      <c r="G196" s="37">
        <v>1</v>
      </c>
    </row>
    <row r="197" spans="1:7" x14ac:dyDescent="0.3">
      <c r="A197" s="39" t="s">
        <v>649</v>
      </c>
      <c r="B197" s="38" t="s">
        <v>648</v>
      </c>
      <c r="C197" s="37" t="s">
        <v>169</v>
      </c>
      <c r="D197" s="37" t="s">
        <v>631</v>
      </c>
      <c r="F197" s="37">
        <v>7</v>
      </c>
      <c r="G197" s="37">
        <v>1</v>
      </c>
    </row>
    <row r="198" spans="1:7" x14ac:dyDescent="0.3">
      <c r="A198" s="39" t="s">
        <v>651</v>
      </c>
      <c r="B198" s="38" t="s">
        <v>650</v>
      </c>
      <c r="C198" s="37" t="s">
        <v>169</v>
      </c>
      <c r="D198" s="37" t="s">
        <v>631</v>
      </c>
      <c r="F198" s="37">
        <v>5</v>
      </c>
      <c r="G198" s="37">
        <v>1</v>
      </c>
    </row>
    <row r="199" spans="1:7" x14ac:dyDescent="0.3">
      <c r="A199" s="39" t="s">
        <v>653</v>
      </c>
      <c r="B199" s="38" t="s">
        <v>652</v>
      </c>
      <c r="C199" s="37" t="s">
        <v>169</v>
      </c>
      <c r="D199" s="37" t="s">
        <v>631</v>
      </c>
      <c r="F199" s="37">
        <v>4</v>
      </c>
      <c r="G199" s="37">
        <v>1</v>
      </c>
    </row>
    <row r="200" spans="1:7" x14ac:dyDescent="0.3">
      <c r="A200" s="39" t="s">
        <v>655</v>
      </c>
      <c r="B200" s="38" t="s">
        <v>654</v>
      </c>
      <c r="C200" s="37" t="s">
        <v>169</v>
      </c>
      <c r="D200" s="37" t="s">
        <v>631</v>
      </c>
      <c r="G200" s="37">
        <v>1</v>
      </c>
    </row>
    <row r="201" spans="1:7" x14ac:dyDescent="0.3">
      <c r="A201" s="39" t="s">
        <v>657</v>
      </c>
      <c r="B201" s="38" t="s">
        <v>656</v>
      </c>
      <c r="C201" s="37" t="s">
        <v>169</v>
      </c>
      <c r="D201" s="37" t="s">
        <v>631</v>
      </c>
      <c r="G201" s="37">
        <v>1</v>
      </c>
    </row>
    <row r="202" spans="1:7" x14ac:dyDescent="0.3">
      <c r="A202" s="39" t="s">
        <v>659</v>
      </c>
      <c r="B202" s="38" t="s">
        <v>658</v>
      </c>
      <c r="C202" s="37" t="s">
        <v>169</v>
      </c>
      <c r="D202" s="37" t="s">
        <v>631</v>
      </c>
      <c r="G202" s="37">
        <v>1</v>
      </c>
    </row>
    <row r="203" spans="1:7" x14ac:dyDescent="0.3">
      <c r="A203" s="39" t="s">
        <v>661</v>
      </c>
      <c r="B203" s="38" t="s">
        <v>660</v>
      </c>
      <c r="C203" s="37" t="s">
        <v>170</v>
      </c>
      <c r="D203" s="37" t="s">
        <v>662</v>
      </c>
      <c r="E203" s="37">
        <v>1</v>
      </c>
      <c r="F203" s="37">
        <v>262</v>
      </c>
      <c r="G203" s="37">
        <v>1</v>
      </c>
    </row>
    <row r="204" spans="1:7" x14ac:dyDescent="0.3">
      <c r="A204" s="39" t="s">
        <v>664</v>
      </c>
      <c r="B204" s="38" t="s">
        <v>663</v>
      </c>
      <c r="C204" s="37" t="s">
        <v>170</v>
      </c>
      <c r="D204" s="37" t="s">
        <v>662</v>
      </c>
      <c r="F204" s="37">
        <v>132</v>
      </c>
      <c r="G204" s="37">
        <v>1</v>
      </c>
    </row>
    <row r="205" spans="1:7" x14ac:dyDescent="0.3">
      <c r="A205" s="39" t="s">
        <v>666</v>
      </c>
      <c r="B205" s="38" t="s">
        <v>665</v>
      </c>
      <c r="C205" s="37" t="s">
        <v>170</v>
      </c>
      <c r="D205" s="37" t="s">
        <v>662</v>
      </c>
      <c r="F205" s="37">
        <v>72</v>
      </c>
      <c r="G205" s="37">
        <v>1</v>
      </c>
    </row>
    <row r="206" spans="1:7" x14ac:dyDescent="0.3">
      <c r="A206" s="39" t="s">
        <v>668</v>
      </c>
      <c r="B206" s="38" t="s">
        <v>667</v>
      </c>
      <c r="C206" s="37" t="s">
        <v>170</v>
      </c>
      <c r="D206" s="37" t="s">
        <v>662</v>
      </c>
      <c r="F206" s="37">
        <v>49</v>
      </c>
      <c r="G206" s="37">
        <v>1</v>
      </c>
    </row>
    <row r="207" spans="1:7" x14ac:dyDescent="0.3">
      <c r="A207" s="39" t="s">
        <v>670</v>
      </c>
      <c r="B207" s="38" t="s">
        <v>669</v>
      </c>
      <c r="C207" s="37" t="s">
        <v>170</v>
      </c>
      <c r="D207" s="37" t="s">
        <v>662</v>
      </c>
      <c r="F207" s="37">
        <v>43</v>
      </c>
      <c r="G207" s="37">
        <v>1</v>
      </c>
    </row>
    <row r="208" spans="1:7" x14ac:dyDescent="0.3">
      <c r="A208" s="39" t="s">
        <v>672</v>
      </c>
      <c r="B208" s="38" t="s">
        <v>671</v>
      </c>
      <c r="C208" s="37" t="s">
        <v>170</v>
      </c>
      <c r="D208" s="37" t="s">
        <v>662</v>
      </c>
      <c r="F208" s="37">
        <v>32</v>
      </c>
      <c r="G208" s="37">
        <v>1</v>
      </c>
    </row>
    <row r="209" spans="1:7" x14ac:dyDescent="0.3">
      <c r="A209" s="39" t="s">
        <v>674</v>
      </c>
      <c r="B209" s="38" t="s">
        <v>673</v>
      </c>
      <c r="C209" s="37" t="s">
        <v>170</v>
      </c>
      <c r="D209" s="37" t="s">
        <v>662</v>
      </c>
      <c r="F209" s="37">
        <v>17</v>
      </c>
      <c r="G209" s="37">
        <v>1</v>
      </c>
    </row>
    <row r="210" spans="1:7" x14ac:dyDescent="0.3">
      <c r="A210" s="39" t="s">
        <v>676</v>
      </c>
      <c r="B210" s="38" t="s">
        <v>675</v>
      </c>
      <c r="C210" s="37" t="s">
        <v>171</v>
      </c>
      <c r="D210" s="37" t="s">
        <v>677</v>
      </c>
      <c r="E210" s="37">
        <v>3</v>
      </c>
      <c r="F210" s="37">
        <v>410</v>
      </c>
      <c r="G210" s="37">
        <v>1</v>
      </c>
    </row>
    <row r="211" spans="1:7" x14ac:dyDescent="0.3">
      <c r="A211" s="39" t="s">
        <v>679</v>
      </c>
      <c r="B211" s="38" t="s">
        <v>678</v>
      </c>
      <c r="C211" s="37" t="s">
        <v>171</v>
      </c>
      <c r="D211" s="37" t="s">
        <v>677</v>
      </c>
      <c r="F211" s="37">
        <v>41</v>
      </c>
      <c r="G211" s="37">
        <v>1</v>
      </c>
    </row>
    <row r="212" spans="1:7" x14ac:dyDescent="0.3">
      <c r="A212" s="39" t="s">
        <v>681</v>
      </c>
      <c r="B212" s="38" t="s">
        <v>680</v>
      </c>
      <c r="C212" s="37" t="s">
        <v>171</v>
      </c>
      <c r="D212" s="37" t="s">
        <v>677</v>
      </c>
      <c r="F212" s="37">
        <v>28</v>
      </c>
      <c r="G212" s="37">
        <v>1</v>
      </c>
    </row>
    <row r="213" spans="1:7" x14ac:dyDescent="0.3">
      <c r="A213" s="39" t="s">
        <v>683</v>
      </c>
      <c r="B213" s="38" t="s">
        <v>682</v>
      </c>
      <c r="C213" s="37" t="s">
        <v>171</v>
      </c>
      <c r="D213" s="37" t="s">
        <v>677</v>
      </c>
      <c r="F213" s="37">
        <v>22</v>
      </c>
      <c r="G213" s="37">
        <v>1</v>
      </c>
    </row>
    <row r="214" spans="1:7" x14ac:dyDescent="0.3">
      <c r="A214" s="39" t="s">
        <v>685</v>
      </c>
      <c r="B214" s="38" t="s">
        <v>684</v>
      </c>
      <c r="C214" s="37" t="s">
        <v>171</v>
      </c>
      <c r="D214" s="37" t="s">
        <v>677</v>
      </c>
      <c r="F214" s="37">
        <v>22</v>
      </c>
      <c r="G214" s="37">
        <v>1</v>
      </c>
    </row>
    <row r="215" spans="1:7" x14ac:dyDescent="0.3">
      <c r="A215" s="39" t="s">
        <v>687</v>
      </c>
      <c r="B215" s="38" t="s">
        <v>686</v>
      </c>
      <c r="C215" s="37" t="s">
        <v>171</v>
      </c>
      <c r="D215" s="37" t="s">
        <v>677</v>
      </c>
      <c r="F215" s="37">
        <v>22</v>
      </c>
      <c r="G215" s="37">
        <v>1</v>
      </c>
    </row>
    <row r="216" spans="1:7" x14ac:dyDescent="0.3">
      <c r="A216" s="39" t="s">
        <v>689</v>
      </c>
      <c r="B216" s="38" t="s">
        <v>688</v>
      </c>
      <c r="C216" s="37" t="s">
        <v>171</v>
      </c>
      <c r="D216" s="37" t="s">
        <v>677</v>
      </c>
      <c r="F216" s="37">
        <v>17</v>
      </c>
      <c r="G216" s="37">
        <v>1</v>
      </c>
    </row>
    <row r="217" spans="1:7" x14ac:dyDescent="0.3">
      <c r="A217" s="39" t="s">
        <v>691</v>
      </c>
      <c r="B217" s="38" t="s">
        <v>690</v>
      </c>
      <c r="C217" s="37" t="s">
        <v>171</v>
      </c>
      <c r="D217" s="37" t="s">
        <v>677</v>
      </c>
      <c r="F217" s="37">
        <v>13</v>
      </c>
      <c r="G217" s="37">
        <v>1</v>
      </c>
    </row>
    <row r="218" spans="1:7" x14ac:dyDescent="0.3">
      <c r="A218" s="39" t="s">
        <v>693</v>
      </c>
      <c r="B218" s="38" t="s">
        <v>692</v>
      </c>
      <c r="C218" s="37" t="s">
        <v>171</v>
      </c>
      <c r="D218" s="37" t="s">
        <v>677</v>
      </c>
      <c r="F218" s="37">
        <v>12</v>
      </c>
      <c r="G218" s="37">
        <v>1</v>
      </c>
    </row>
    <row r="219" spans="1:7" x14ac:dyDescent="0.3">
      <c r="A219" s="39" t="s">
        <v>695</v>
      </c>
      <c r="B219" s="38" t="s">
        <v>694</v>
      </c>
      <c r="C219" s="37" t="s">
        <v>171</v>
      </c>
      <c r="D219" s="37" t="s">
        <v>677</v>
      </c>
      <c r="F219" s="37">
        <v>9</v>
      </c>
      <c r="G219" s="37">
        <v>1</v>
      </c>
    </row>
    <row r="220" spans="1:7" x14ac:dyDescent="0.3">
      <c r="A220" s="39" t="s">
        <v>697</v>
      </c>
      <c r="B220" s="38" t="s">
        <v>696</v>
      </c>
      <c r="C220" s="37" t="s">
        <v>172</v>
      </c>
      <c r="D220" s="37" t="s">
        <v>698</v>
      </c>
      <c r="E220" s="37">
        <v>6</v>
      </c>
      <c r="F220" s="37">
        <v>491</v>
      </c>
      <c r="G220" s="37">
        <v>1</v>
      </c>
    </row>
    <row r="221" spans="1:7" x14ac:dyDescent="0.3">
      <c r="A221" s="39" t="s">
        <v>700</v>
      </c>
      <c r="B221" s="38" t="s">
        <v>699</v>
      </c>
      <c r="C221" s="37" t="s">
        <v>172</v>
      </c>
      <c r="D221" s="37" t="s">
        <v>698</v>
      </c>
      <c r="E221" s="37">
        <v>1</v>
      </c>
      <c r="F221" s="37">
        <v>146</v>
      </c>
      <c r="G221" s="37">
        <v>1</v>
      </c>
    </row>
    <row r="222" spans="1:7" x14ac:dyDescent="0.3">
      <c r="A222" s="39" t="s">
        <v>702</v>
      </c>
      <c r="B222" s="38" t="s">
        <v>701</v>
      </c>
      <c r="C222" s="37" t="s">
        <v>172</v>
      </c>
      <c r="D222" s="37" t="s">
        <v>698</v>
      </c>
      <c r="F222" s="37">
        <v>83</v>
      </c>
      <c r="G222" s="37">
        <v>1</v>
      </c>
    </row>
    <row r="223" spans="1:7" x14ac:dyDescent="0.3">
      <c r="A223" s="39" t="s">
        <v>704</v>
      </c>
      <c r="B223" s="38" t="s">
        <v>703</v>
      </c>
      <c r="C223" s="37" t="s">
        <v>172</v>
      </c>
      <c r="D223" s="37" t="s">
        <v>698</v>
      </c>
      <c r="E223" s="37">
        <v>1</v>
      </c>
      <c r="F223" s="37">
        <v>83</v>
      </c>
      <c r="G223" s="37">
        <v>1</v>
      </c>
    </row>
    <row r="224" spans="1:7" x14ac:dyDescent="0.3">
      <c r="A224" s="39" t="s">
        <v>706</v>
      </c>
      <c r="B224" s="38" t="s">
        <v>705</v>
      </c>
      <c r="C224" s="37" t="s">
        <v>172</v>
      </c>
      <c r="D224" s="37" t="s">
        <v>698</v>
      </c>
      <c r="E224" s="37">
        <v>1</v>
      </c>
      <c r="F224" s="37">
        <v>77</v>
      </c>
      <c r="G224" s="37">
        <v>1</v>
      </c>
    </row>
    <row r="225" spans="1:7" x14ac:dyDescent="0.3">
      <c r="A225" s="39" t="s">
        <v>708</v>
      </c>
      <c r="B225" s="38" t="s">
        <v>707</v>
      </c>
      <c r="C225" s="37" t="s">
        <v>172</v>
      </c>
      <c r="D225" s="37" t="s">
        <v>698</v>
      </c>
      <c r="F225" s="37">
        <v>29</v>
      </c>
      <c r="G225" s="37">
        <v>1</v>
      </c>
    </row>
    <row r="226" spans="1:7" x14ac:dyDescent="0.3">
      <c r="A226" s="39" t="s">
        <v>710</v>
      </c>
      <c r="B226" s="38" t="s">
        <v>709</v>
      </c>
      <c r="C226" s="37" t="s">
        <v>172</v>
      </c>
      <c r="D226" s="37" t="s">
        <v>698</v>
      </c>
      <c r="F226" s="37">
        <v>26</v>
      </c>
      <c r="G226" s="37">
        <v>1</v>
      </c>
    </row>
    <row r="227" spans="1:7" x14ac:dyDescent="0.3">
      <c r="A227" s="39" t="s">
        <v>712</v>
      </c>
      <c r="B227" s="38" t="s">
        <v>711</v>
      </c>
      <c r="C227" s="37" t="s">
        <v>172</v>
      </c>
      <c r="D227" s="37" t="s">
        <v>698</v>
      </c>
      <c r="F227" s="37">
        <v>24</v>
      </c>
      <c r="G227" s="37">
        <v>1</v>
      </c>
    </row>
    <row r="228" spans="1:7" x14ac:dyDescent="0.3">
      <c r="A228" s="39" t="s">
        <v>714</v>
      </c>
      <c r="B228" s="38" t="s">
        <v>713</v>
      </c>
      <c r="C228" s="37" t="s">
        <v>172</v>
      </c>
      <c r="D228" s="37" t="s">
        <v>698</v>
      </c>
      <c r="F228" s="37">
        <v>23</v>
      </c>
    </row>
    <row r="229" spans="1:7" x14ac:dyDescent="0.3">
      <c r="A229" s="39" t="s">
        <v>716</v>
      </c>
      <c r="B229" s="38" t="s">
        <v>715</v>
      </c>
      <c r="C229" s="37" t="s">
        <v>172</v>
      </c>
      <c r="D229" s="37" t="s">
        <v>698</v>
      </c>
      <c r="F229" s="37">
        <v>21</v>
      </c>
      <c r="G229" s="37">
        <v>1</v>
      </c>
    </row>
    <row r="230" spans="1:7" x14ac:dyDescent="0.3">
      <c r="A230" s="39" t="s">
        <v>718</v>
      </c>
      <c r="B230" s="38" t="s">
        <v>717</v>
      </c>
      <c r="C230" s="37" t="s">
        <v>172</v>
      </c>
      <c r="D230" s="37" t="s">
        <v>698</v>
      </c>
      <c r="F230" s="37">
        <v>14</v>
      </c>
      <c r="G230" s="37">
        <v>1</v>
      </c>
    </row>
    <row r="231" spans="1:7" x14ac:dyDescent="0.3">
      <c r="A231" s="39" t="s">
        <v>720</v>
      </c>
      <c r="B231" s="38" t="s">
        <v>719</v>
      </c>
      <c r="C231" s="37" t="s">
        <v>172</v>
      </c>
      <c r="D231" s="37" t="s">
        <v>698</v>
      </c>
      <c r="F231" s="37">
        <v>13</v>
      </c>
      <c r="G231" s="37">
        <v>1</v>
      </c>
    </row>
    <row r="232" spans="1:7" x14ac:dyDescent="0.3">
      <c r="A232" s="39" t="s">
        <v>722</v>
      </c>
      <c r="B232" s="38" t="s">
        <v>721</v>
      </c>
      <c r="C232" s="37" t="s">
        <v>172</v>
      </c>
      <c r="D232" s="37" t="s">
        <v>698</v>
      </c>
      <c r="F232" s="37">
        <v>13</v>
      </c>
    </row>
    <row r="233" spans="1:7" x14ac:dyDescent="0.3">
      <c r="A233" s="39" t="s">
        <v>724</v>
      </c>
      <c r="B233" s="38" t="s">
        <v>723</v>
      </c>
      <c r="C233" s="37" t="s">
        <v>172</v>
      </c>
      <c r="D233" s="37" t="s">
        <v>698</v>
      </c>
      <c r="F233" s="37">
        <v>12</v>
      </c>
      <c r="G233" s="37">
        <v>1</v>
      </c>
    </row>
    <row r="234" spans="1:7" x14ac:dyDescent="0.3">
      <c r="A234" s="39" t="s">
        <v>726</v>
      </c>
      <c r="B234" s="38" t="s">
        <v>725</v>
      </c>
      <c r="C234" s="37" t="s">
        <v>172</v>
      </c>
      <c r="D234" s="37" t="s">
        <v>698</v>
      </c>
      <c r="F234" s="37">
        <v>11</v>
      </c>
      <c r="G234" s="37">
        <v>1</v>
      </c>
    </row>
    <row r="235" spans="1:7" x14ac:dyDescent="0.3">
      <c r="A235" s="39" t="s">
        <v>728</v>
      </c>
      <c r="B235" s="38" t="s">
        <v>727</v>
      </c>
      <c r="C235" s="37" t="s">
        <v>172</v>
      </c>
      <c r="D235" s="37" t="s">
        <v>698</v>
      </c>
      <c r="F235" s="37">
        <v>10</v>
      </c>
      <c r="G235" s="37">
        <v>1</v>
      </c>
    </row>
    <row r="236" spans="1:7" x14ac:dyDescent="0.3">
      <c r="A236" s="39" t="s">
        <v>730</v>
      </c>
      <c r="B236" s="38" t="s">
        <v>729</v>
      </c>
      <c r="C236" s="37" t="s">
        <v>172</v>
      </c>
      <c r="D236" s="37" t="s">
        <v>698</v>
      </c>
      <c r="F236" s="37">
        <v>9</v>
      </c>
      <c r="G236" s="37">
        <v>1</v>
      </c>
    </row>
    <row r="237" spans="1:7" x14ac:dyDescent="0.3">
      <c r="A237" s="39" t="s">
        <v>732</v>
      </c>
      <c r="B237" s="38" t="s">
        <v>731</v>
      </c>
      <c r="C237" s="37" t="s">
        <v>172</v>
      </c>
      <c r="D237" s="37" t="s">
        <v>698</v>
      </c>
      <c r="F237" s="37">
        <v>8</v>
      </c>
      <c r="G237" s="37">
        <v>1</v>
      </c>
    </row>
    <row r="238" spans="1:7" x14ac:dyDescent="0.3">
      <c r="A238" s="39" t="s">
        <v>734</v>
      </c>
      <c r="B238" s="38" t="s">
        <v>733</v>
      </c>
      <c r="C238" s="37" t="s">
        <v>172</v>
      </c>
      <c r="D238" s="37" t="s">
        <v>698</v>
      </c>
      <c r="F238" s="37">
        <v>8</v>
      </c>
      <c r="G238" s="37">
        <v>1</v>
      </c>
    </row>
    <row r="239" spans="1:7" x14ac:dyDescent="0.3">
      <c r="A239" s="39" t="s">
        <v>736</v>
      </c>
      <c r="B239" s="38" t="s">
        <v>735</v>
      </c>
      <c r="C239" s="37" t="s">
        <v>172</v>
      </c>
      <c r="D239" s="37" t="s">
        <v>698</v>
      </c>
      <c r="F239" s="37">
        <v>7</v>
      </c>
      <c r="G239" s="37">
        <v>1</v>
      </c>
    </row>
    <row r="240" spans="1:7" x14ac:dyDescent="0.3">
      <c r="A240" s="39" t="s">
        <v>738</v>
      </c>
      <c r="B240" s="38" t="s">
        <v>737</v>
      </c>
      <c r="C240" s="37" t="s">
        <v>172</v>
      </c>
      <c r="D240" s="37" t="s">
        <v>698</v>
      </c>
      <c r="F240" s="37">
        <v>7</v>
      </c>
      <c r="G240" s="37">
        <v>1</v>
      </c>
    </row>
    <row r="241" spans="1:7" x14ac:dyDescent="0.3">
      <c r="A241" s="39" t="s">
        <v>740</v>
      </c>
      <c r="B241" s="38" t="s">
        <v>739</v>
      </c>
      <c r="C241" s="37" t="s">
        <v>172</v>
      </c>
      <c r="D241" s="37" t="s">
        <v>698</v>
      </c>
      <c r="F241" s="37">
        <v>7</v>
      </c>
      <c r="G241" s="37">
        <v>1</v>
      </c>
    </row>
    <row r="242" spans="1:7" x14ac:dyDescent="0.3">
      <c r="A242" s="39" t="s">
        <v>742</v>
      </c>
      <c r="B242" s="38" t="s">
        <v>741</v>
      </c>
      <c r="C242" s="37" t="s">
        <v>172</v>
      </c>
      <c r="D242" s="37" t="s">
        <v>698</v>
      </c>
      <c r="F242" s="37">
        <v>5</v>
      </c>
      <c r="G242" s="37">
        <v>1</v>
      </c>
    </row>
    <row r="243" spans="1:7" x14ac:dyDescent="0.3">
      <c r="A243" s="39" t="s">
        <v>744</v>
      </c>
      <c r="B243" s="38" t="s">
        <v>743</v>
      </c>
      <c r="C243" s="37" t="s">
        <v>172</v>
      </c>
      <c r="D243" s="37" t="s">
        <v>698</v>
      </c>
      <c r="F243" s="37">
        <v>5</v>
      </c>
      <c r="G243" s="37">
        <v>1</v>
      </c>
    </row>
    <row r="244" spans="1:7" x14ac:dyDescent="0.3">
      <c r="A244" s="39" t="s">
        <v>746</v>
      </c>
      <c r="B244" s="38" t="s">
        <v>745</v>
      </c>
      <c r="C244" s="37" t="s">
        <v>172</v>
      </c>
      <c r="D244" s="37" t="s">
        <v>698</v>
      </c>
      <c r="F244" s="37">
        <v>5</v>
      </c>
      <c r="G244" s="37">
        <v>1</v>
      </c>
    </row>
    <row r="245" spans="1:7" x14ac:dyDescent="0.3">
      <c r="A245" s="39" t="s">
        <v>748</v>
      </c>
      <c r="B245" s="38" t="s">
        <v>747</v>
      </c>
      <c r="C245" s="37" t="s">
        <v>172</v>
      </c>
      <c r="D245" s="37" t="s">
        <v>698</v>
      </c>
      <c r="F245" s="37">
        <v>4</v>
      </c>
      <c r="G245" s="37">
        <v>1</v>
      </c>
    </row>
    <row r="246" spans="1:7" x14ac:dyDescent="0.3">
      <c r="A246" s="39" t="s">
        <v>750</v>
      </c>
      <c r="B246" s="38" t="s">
        <v>749</v>
      </c>
      <c r="C246" s="37" t="s">
        <v>172</v>
      </c>
      <c r="D246" s="37" t="s">
        <v>698</v>
      </c>
      <c r="F246" s="37">
        <v>4</v>
      </c>
      <c r="G246" s="37">
        <v>1</v>
      </c>
    </row>
    <row r="247" spans="1:7" x14ac:dyDescent="0.3">
      <c r="A247" s="39" t="s">
        <v>752</v>
      </c>
      <c r="B247" s="38" t="s">
        <v>751</v>
      </c>
      <c r="C247" s="37" t="s">
        <v>172</v>
      </c>
      <c r="D247" s="37" t="s">
        <v>698</v>
      </c>
      <c r="F247" s="37">
        <v>4</v>
      </c>
      <c r="G247" s="37">
        <v>1</v>
      </c>
    </row>
    <row r="248" spans="1:7" x14ac:dyDescent="0.3">
      <c r="A248" s="39" t="s">
        <v>754</v>
      </c>
      <c r="B248" s="38" t="s">
        <v>753</v>
      </c>
      <c r="C248" s="37" t="s">
        <v>172</v>
      </c>
      <c r="D248" s="37" t="s">
        <v>698</v>
      </c>
      <c r="F248" s="37">
        <v>4</v>
      </c>
      <c r="G248" s="37">
        <v>1</v>
      </c>
    </row>
    <row r="249" spans="1:7" x14ac:dyDescent="0.3">
      <c r="A249" s="39" t="s">
        <v>756</v>
      </c>
      <c r="B249" s="38" t="s">
        <v>755</v>
      </c>
      <c r="C249" s="37" t="s">
        <v>172</v>
      </c>
      <c r="D249" s="37" t="s">
        <v>698</v>
      </c>
      <c r="F249" s="37">
        <v>4</v>
      </c>
      <c r="G249" s="37">
        <v>1</v>
      </c>
    </row>
    <row r="250" spans="1:7" x14ac:dyDescent="0.3">
      <c r="A250" s="39" t="s">
        <v>758</v>
      </c>
      <c r="B250" s="38" t="s">
        <v>757</v>
      </c>
      <c r="C250" s="37" t="s">
        <v>172</v>
      </c>
      <c r="D250" s="37" t="s">
        <v>698</v>
      </c>
      <c r="F250" s="37">
        <v>4</v>
      </c>
      <c r="G250" s="37">
        <v>1</v>
      </c>
    </row>
    <row r="251" spans="1:7" x14ac:dyDescent="0.3">
      <c r="A251" s="39" t="s">
        <v>760</v>
      </c>
      <c r="B251" s="38" t="s">
        <v>759</v>
      </c>
      <c r="C251" s="37" t="s">
        <v>172</v>
      </c>
      <c r="D251" s="37" t="s">
        <v>698</v>
      </c>
      <c r="F251" s="37">
        <v>4</v>
      </c>
      <c r="G251" s="37">
        <v>1</v>
      </c>
    </row>
    <row r="252" spans="1:7" x14ac:dyDescent="0.3">
      <c r="A252" s="39" t="s">
        <v>762</v>
      </c>
      <c r="B252" s="38" t="s">
        <v>761</v>
      </c>
      <c r="C252" s="37" t="s">
        <v>172</v>
      </c>
      <c r="D252" s="37" t="s">
        <v>698</v>
      </c>
      <c r="F252" s="37">
        <v>4</v>
      </c>
      <c r="G252" s="37">
        <v>1</v>
      </c>
    </row>
    <row r="253" spans="1:7" x14ac:dyDescent="0.3">
      <c r="A253" s="39" t="s">
        <v>764</v>
      </c>
      <c r="B253" s="38" t="s">
        <v>763</v>
      </c>
      <c r="C253" s="37" t="s">
        <v>172</v>
      </c>
      <c r="D253" s="37" t="s">
        <v>698</v>
      </c>
      <c r="F253" s="37">
        <v>3</v>
      </c>
      <c r="G253" s="37">
        <v>1</v>
      </c>
    </row>
    <row r="254" spans="1:7" x14ac:dyDescent="0.3">
      <c r="A254" s="39" t="s">
        <v>766</v>
      </c>
      <c r="B254" s="38" t="s">
        <v>765</v>
      </c>
      <c r="C254" s="37" t="s">
        <v>172</v>
      </c>
      <c r="D254" s="37" t="s">
        <v>698</v>
      </c>
      <c r="F254" s="37">
        <v>3</v>
      </c>
      <c r="G254" s="37">
        <v>1</v>
      </c>
    </row>
    <row r="255" spans="1:7" x14ac:dyDescent="0.3">
      <c r="A255" s="39" t="s">
        <v>768</v>
      </c>
      <c r="B255" s="38" t="s">
        <v>767</v>
      </c>
      <c r="C255" s="37" t="s">
        <v>172</v>
      </c>
      <c r="D255" s="37" t="s">
        <v>698</v>
      </c>
      <c r="F255" s="37">
        <v>3</v>
      </c>
      <c r="G255" s="37">
        <v>1</v>
      </c>
    </row>
    <row r="256" spans="1:7" x14ac:dyDescent="0.3">
      <c r="A256" s="39" t="s">
        <v>770</v>
      </c>
      <c r="B256" s="38" t="s">
        <v>769</v>
      </c>
      <c r="C256" s="37" t="s">
        <v>172</v>
      </c>
      <c r="D256" s="37" t="s">
        <v>698</v>
      </c>
      <c r="F256" s="37">
        <v>3</v>
      </c>
      <c r="G256" s="37">
        <v>1</v>
      </c>
    </row>
    <row r="257" spans="1:7" x14ac:dyDescent="0.3">
      <c r="A257" s="39" t="s">
        <v>772</v>
      </c>
      <c r="B257" s="38" t="s">
        <v>771</v>
      </c>
      <c r="C257" s="37" t="s">
        <v>172</v>
      </c>
      <c r="D257" s="37" t="s">
        <v>698</v>
      </c>
      <c r="F257" s="37">
        <v>3</v>
      </c>
    </row>
    <row r="258" spans="1:7" x14ac:dyDescent="0.3">
      <c r="A258" s="39" t="s">
        <v>774</v>
      </c>
      <c r="B258" s="38" t="s">
        <v>773</v>
      </c>
      <c r="C258" s="37" t="s">
        <v>172</v>
      </c>
      <c r="D258" s="37" t="s">
        <v>698</v>
      </c>
      <c r="F258" s="37">
        <v>2</v>
      </c>
      <c r="G258" s="37">
        <v>1</v>
      </c>
    </row>
    <row r="259" spans="1:7" x14ac:dyDescent="0.3">
      <c r="A259" s="39" t="s">
        <v>776</v>
      </c>
      <c r="B259" s="38" t="s">
        <v>775</v>
      </c>
      <c r="C259" s="37" t="s">
        <v>172</v>
      </c>
      <c r="D259" s="37" t="s">
        <v>698</v>
      </c>
      <c r="F259" s="37">
        <v>2</v>
      </c>
      <c r="G259" s="37">
        <v>1</v>
      </c>
    </row>
    <row r="260" spans="1:7" x14ac:dyDescent="0.3">
      <c r="A260" s="39" t="s">
        <v>778</v>
      </c>
      <c r="B260" s="38" t="s">
        <v>777</v>
      </c>
      <c r="C260" s="37" t="s">
        <v>172</v>
      </c>
      <c r="D260" s="37" t="s">
        <v>698</v>
      </c>
      <c r="F260" s="37">
        <v>1</v>
      </c>
      <c r="G260" s="37">
        <v>1</v>
      </c>
    </row>
    <row r="261" spans="1:7" x14ac:dyDescent="0.3">
      <c r="A261" s="39" t="s">
        <v>780</v>
      </c>
      <c r="B261" s="38" t="s">
        <v>779</v>
      </c>
      <c r="C261" s="37" t="s">
        <v>172</v>
      </c>
      <c r="D261" s="37" t="s">
        <v>698</v>
      </c>
      <c r="F261" s="37">
        <v>1</v>
      </c>
      <c r="G261" s="37">
        <v>1</v>
      </c>
    </row>
    <row r="262" spans="1:7" x14ac:dyDescent="0.3">
      <c r="A262" s="39" t="s">
        <v>782</v>
      </c>
      <c r="B262" s="38" t="s">
        <v>781</v>
      </c>
      <c r="C262" s="37" t="s">
        <v>172</v>
      </c>
      <c r="D262" s="37" t="s">
        <v>698</v>
      </c>
      <c r="F262" s="37">
        <v>1</v>
      </c>
    </row>
    <row r="263" spans="1:7" x14ac:dyDescent="0.3">
      <c r="A263" s="39" t="s">
        <v>784</v>
      </c>
      <c r="B263" s="38" t="s">
        <v>783</v>
      </c>
      <c r="C263" s="37" t="s">
        <v>172</v>
      </c>
      <c r="D263" s="37" t="s">
        <v>698</v>
      </c>
      <c r="G263" s="37">
        <v>1</v>
      </c>
    </row>
    <row r="264" spans="1:7" x14ac:dyDescent="0.3">
      <c r="A264" s="39" t="s">
        <v>786</v>
      </c>
      <c r="B264" s="38" t="s">
        <v>785</v>
      </c>
      <c r="C264" s="37" t="s">
        <v>172</v>
      </c>
      <c r="D264" s="37" t="s">
        <v>698</v>
      </c>
    </row>
    <row r="265" spans="1:7" x14ac:dyDescent="0.3">
      <c r="A265" s="39" t="s">
        <v>788</v>
      </c>
      <c r="B265" s="38" t="s">
        <v>787</v>
      </c>
      <c r="C265" s="37" t="s">
        <v>172</v>
      </c>
      <c r="D265" s="37" t="s">
        <v>698</v>
      </c>
      <c r="G265" s="37">
        <v>1</v>
      </c>
    </row>
    <row r="266" spans="1:7" x14ac:dyDescent="0.3">
      <c r="A266" s="39" t="s">
        <v>790</v>
      </c>
      <c r="B266" s="38" t="s">
        <v>789</v>
      </c>
      <c r="C266" s="37" t="s">
        <v>172</v>
      </c>
      <c r="D266" s="37" t="s">
        <v>698</v>
      </c>
    </row>
    <row r="267" spans="1:7" x14ac:dyDescent="0.3">
      <c r="A267" s="39" t="s">
        <v>792</v>
      </c>
      <c r="B267" s="38" t="s">
        <v>791</v>
      </c>
      <c r="C267" s="37" t="s">
        <v>172</v>
      </c>
      <c r="D267" s="37" t="s">
        <v>698</v>
      </c>
      <c r="G267" s="37">
        <v>1</v>
      </c>
    </row>
    <row r="268" spans="1:7" x14ac:dyDescent="0.3">
      <c r="A268" s="39" t="s">
        <v>794</v>
      </c>
      <c r="B268" s="38" t="s">
        <v>793</v>
      </c>
      <c r="C268" s="37" t="s">
        <v>172</v>
      </c>
      <c r="D268" s="37" t="s">
        <v>698</v>
      </c>
      <c r="G268" s="37">
        <v>1</v>
      </c>
    </row>
    <row r="269" spans="1:7" x14ac:dyDescent="0.3">
      <c r="A269" s="39" t="s">
        <v>113</v>
      </c>
      <c r="B269" s="38" t="s">
        <v>795</v>
      </c>
      <c r="C269" s="37" t="s">
        <v>173</v>
      </c>
      <c r="D269" s="37" t="s">
        <v>796</v>
      </c>
      <c r="E269" s="37">
        <v>2</v>
      </c>
      <c r="F269" s="37">
        <v>180</v>
      </c>
      <c r="G269" s="37">
        <v>1</v>
      </c>
    </row>
    <row r="270" spans="1:7" x14ac:dyDescent="0.3">
      <c r="A270" s="39" t="s">
        <v>798</v>
      </c>
      <c r="B270" s="38" t="s">
        <v>797</v>
      </c>
      <c r="C270" s="37" t="s">
        <v>173</v>
      </c>
      <c r="D270" s="37" t="s">
        <v>796</v>
      </c>
      <c r="E270" s="37">
        <v>1</v>
      </c>
      <c r="F270" s="37">
        <v>11</v>
      </c>
      <c r="G270" s="37">
        <v>1</v>
      </c>
    </row>
    <row r="271" spans="1:7" x14ac:dyDescent="0.3">
      <c r="A271" s="39" t="s">
        <v>800</v>
      </c>
      <c r="B271" s="38" t="s">
        <v>799</v>
      </c>
      <c r="C271" s="37" t="s">
        <v>173</v>
      </c>
      <c r="D271" s="37" t="s">
        <v>796</v>
      </c>
      <c r="F271" s="37">
        <v>3</v>
      </c>
      <c r="G271" s="37">
        <v>1</v>
      </c>
    </row>
    <row r="272" spans="1:7" x14ac:dyDescent="0.3">
      <c r="A272" s="39" t="s">
        <v>802</v>
      </c>
      <c r="B272" s="38" t="s">
        <v>801</v>
      </c>
      <c r="C272" s="37" t="s">
        <v>173</v>
      </c>
      <c r="D272" s="37" t="s">
        <v>796</v>
      </c>
      <c r="F272" s="37">
        <v>3</v>
      </c>
      <c r="G272" s="37">
        <v>1</v>
      </c>
    </row>
    <row r="273" spans="1:7" x14ac:dyDescent="0.3">
      <c r="A273" s="39" t="s">
        <v>804</v>
      </c>
      <c r="B273" s="38" t="s">
        <v>803</v>
      </c>
      <c r="C273" s="37" t="s">
        <v>173</v>
      </c>
      <c r="D273" s="37" t="s">
        <v>796</v>
      </c>
      <c r="F273" s="37">
        <v>3</v>
      </c>
      <c r="G273" s="37">
        <v>1</v>
      </c>
    </row>
    <row r="274" spans="1:7" x14ac:dyDescent="0.3">
      <c r="A274" s="39" t="s">
        <v>806</v>
      </c>
      <c r="B274" s="38" t="s">
        <v>805</v>
      </c>
      <c r="C274" s="37" t="s">
        <v>173</v>
      </c>
      <c r="D274" s="37" t="s">
        <v>796</v>
      </c>
      <c r="F274" s="37">
        <v>2</v>
      </c>
      <c r="G274" s="37">
        <v>1</v>
      </c>
    </row>
    <row r="275" spans="1:7" x14ac:dyDescent="0.3">
      <c r="A275" s="39" t="s">
        <v>808</v>
      </c>
      <c r="B275" s="38" t="s">
        <v>807</v>
      </c>
      <c r="C275" s="37" t="s">
        <v>173</v>
      </c>
      <c r="D275" s="37" t="s">
        <v>796</v>
      </c>
      <c r="E275" s="37">
        <v>1</v>
      </c>
      <c r="F275" s="37">
        <v>1</v>
      </c>
      <c r="G275" s="37">
        <v>1</v>
      </c>
    </row>
    <row r="276" spans="1:7" x14ac:dyDescent="0.3">
      <c r="A276" s="39" t="s">
        <v>810</v>
      </c>
      <c r="B276" s="38" t="s">
        <v>809</v>
      </c>
      <c r="C276" s="37" t="s">
        <v>173</v>
      </c>
      <c r="D276" s="37" t="s">
        <v>796</v>
      </c>
      <c r="G276" s="37">
        <v>1</v>
      </c>
    </row>
    <row r="277" spans="1:7" x14ac:dyDescent="0.3">
      <c r="A277" s="39" t="s">
        <v>812</v>
      </c>
      <c r="B277" s="38" t="s">
        <v>811</v>
      </c>
      <c r="C277" s="37" t="s">
        <v>173</v>
      </c>
      <c r="D277" s="37" t="s">
        <v>796</v>
      </c>
      <c r="G277" s="37">
        <v>1</v>
      </c>
    </row>
    <row r="278" spans="1:7" x14ac:dyDescent="0.3">
      <c r="A278" s="39" t="s">
        <v>814</v>
      </c>
      <c r="B278" s="38" t="s">
        <v>813</v>
      </c>
      <c r="C278" s="37" t="s">
        <v>173</v>
      </c>
      <c r="D278" s="37" t="s">
        <v>796</v>
      </c>
      <c r="G278" s="37">
        <v>1</v>
      </c>
    </row>
    <row r="279" spans="1:7" x14ac:dyDescent="0.3">
      <c r="A279" s="39" t="s">
        <v>816</v>
      </c>
      <c r="B279" s="38" t="s">
        <v>815</v>
      </c>
      <c r="C279" s="37" t="s">
        <v>173</v>
      </c>
      <c r="D279" s="37" t="s">
        <v>796</v>
      </c>
      <c r="G279" s="37">
        <v>1</v>
      </c>
    </row>
    <row r="280" spans="1:7" x14ac:dyDescent="0.3">
      <c r="A280" s="39" t="s">
        <v>818</v>
      </c>
      <c r="B280" s="38" t="s">
        <v>817</v>
      </c>
      <c r="C280" s="37" t="s">
        <v>173</v>
      </c>
      <c r="D280" s="37" t="s">
        <v>796</v>
      </c>
    </row>
    <row r="281" spans="1:7" x14ac:dyDescent="0.3">
      <c r="A281" s="39" t="s">
        <v>820</v>
      </c>
      <c r="B281" s="38" t="s">
        <v>819</v>
      </c>
      <c r="C281" s="37" t="s">
        <v>174</v>
      </c>
      <c r="D281" s="37" t="s">
        <v>821</v>
      </c>
      <c r="E281" s="37">
        <v>1</v>
      </c>
      <c r="F281" s="37">
        <v>344</v>
      </c>
      <c r="G281" s="37">
        <v>1</v>
      </c>
    </row>
    <row r="282" spans="1:7" x14ac:dyDescent="0.3">
      <c r="A282" s="39" t="s">
        <v>823</v>
      </c>
      <c r="B282" s="38" t="s">
        <v>822</v>
      </c>
      <c r="C282" s="37" t="s">
        <v>174</v>
      </c>
      <c r="D282" s="37" t="s">
        <v>821</v>
      </c>
      <c r="E282" s="37">
        <v>1</v>
      </c>
      <c r="F282" s="37">
        <v>184</v>
      </c>
      <c r="G282" s="37">
        <v>1</v>
      </c>
    </row>
    <row r="283" spans="1:7" x14ac:dyDescent="0.3">
      <c r="A283" s="39" t="s">
        <v>825</v>
      </c>
      <c r="B283" s="38" t="s">
        <v>824</v>
      </c>
      <c r="C283" s="37" t="s">
        <v>174</v>
      </c>
      <c r="D283" s="37" t="s">
        <v>821</v>
      </c>
      <c r="F283" s="37">
        <v>37</v>
      </c>
      <c r="G283" s="37">
        <v>1</v>
      </c>
    </row>
    <row r="284" spans="1:7" x14ac:dyDescent="0.3">
      <c r="A284" s="39" t="s">
        <v>827</v>
      </c>
      <c r="B284" s="38" t="s">
        <v>826</v>
      </c>
      <c r="C284" s="37" t="s">
        <v>174</v>
      </c>
      <c r="D284" s="37" t="s">
        <v>821</v>
      </c>
      <c r="F284" s="37">
        <v>35</v>
      </c>
      <c r="G284" s="37">
        <v>1</v>
      </c>
    </row>
    <row r="285" spans="1:7" x14ac:dyDescent="0.3">
      <c r="A285" s="39" t="s">
        <v>829</v>
      </c>
      <c r="B285" s="38" t="s">
        <v>828</v>
      </c>
      <c r="C285" s="37" t="s">
        <v>174</v>
      </c>
      <c r="D285" s="37" t="s">
        <v>821</v>
      </c>
      <c r="F285" s="37">
        <v>9</v>
      </c>
      <c r="G285" s="37">
        <v>1</v>
      </c>
    </row>
    <row r="286" spans="1:7" x14ac:dyDescent="0.3">
      <c r="A286" s="39" t="s">
        <v>831</v>
      </c>
      <c r="B286" s="38" t="s">
        <v>830</v>
      </c>
      <c r="C286" s="37" t="s">
        <v>174</v>
      </c>
      <c r="D286" s="37" t="s">
        <v>821</v>
      </c>
      <c r="F286" s="37">
        <v>9</v>
      </c>
      <c r="G286" s="37">
        <v>1</v>
      </c>
    </row>
    <row r="287" spans="1:7" x14ac:dyDescent="0.3">
      <c r="A287" s="39" t="s">
        <v>833</v>
      </c>
      <c r="B287" s="38" t="s">
        <v>832</v>
      </c>
      <c r="C287" s="37" t="s">
        <v>174</v>
      </c>
      <c r="D287" s="37" t="s">
        <v>821</v>
      </c>
      <c r="F287" s="37">
        <v>6</v>
      </c>
      <c r="G287" s="37">
        <v>1</v>
      </c>
    </row>
    <row r="288" spans="1:7" x14ac:dyDescent="0.3">
      <c r="A288" s="39" t="s">
        <v>835</v>
      </c>
      <c r="B288" s="38" t="s">
        <v>834</v>
      </c>
      <c r="C288" s="37" t="s">
        <v>174</v>
      </c>
      <c r="D288" s="37" t="s">
        <v>821</v>
      </c>
      <c r="F288" s="37">
        <v>5</v>
      </c>
      <c r="G288" s="37">
        <v>1</v>
      </c>
    </row>
    <row r="289" spans="1:7" x14ac:dyDescent="0.3">
      <c r="A289" s="39" t="s">
        <v>837</v>
      </c>
      <c r="B289" s="38" t="s">
        <v>836</v>
      </c>
      <c r="C289" s="37" t="s">
        <v>174</v>
      </c>
      <c r="D289" s="37" t="s">
        <v>821</v>
      </c>
      <c r="F289" s="37">
        <v>4</v>
      </c>
      <c r="G289" s="37">
        <v>1</v>
      </c>
    </row>
    <row r="290" spans="1:7" x14ac:dyDescent="0.3">
      <c r="A290" s="39" t="s">
        <v>839</v>
      </c>
      <c r="B290" s="38" t="s">
        <v>838</v>
      </c>
      <c r="C290" s="37" t="s">
        <v>174</v>
      </c>
      <c r="D290" s="37" t="s">
        <v>821</v>
      </c>
      <c r="F290" s="37">
        <v>3</v>
      </c>
      <c r="G290" s="37">
        <v>1</v>
      </c>
    </row>
    <row r="291" spans="1:7" x14ac:dyDescent="0.3">
      <c r="A291" s="39" t="s">
        <v>841</v>
      </c>
      <c r="B291" s="38" t="s">
        <v>840</v>
      </c>
      <c r="C291" s="37" t="s">
        <v>174</v>
      </c>
      <c r="D291" s="37" t="s">
        <v>821</v>
      </c>
      <c r="F291" s="37">
        <v>2</v>
      </c>
      <c r="G291" s="37">
        <v>1</v>
      </c>
    </row>
    <row r="292" spans="1:7" x14ac:dyDescent="0.3">
      <c r="A292" s="39" t="s">
        <v>843</v>
      </c>
      <c r="B292" s="38" t="s">
        <v>842</v>
      </c>
      <c r="C292" s="37" t="s">
        <v>174</v>
      </c>
      <c r="D292" s="37" t="s">
        <v>821</v>
      </c>
      <c r="G292" s="37">
        <v>1</v>
      </c>
    </row>
    <row r="293" spans="1:7" x14ac:dyDescent="0.3">
      <c r="A293" s="39" t="s">
        <v>845</v>
      </c>
      <c r="B293" s="38" t="s">
        <v>844</v>
      </c>
      <c r="C293" s="37" t="s">
        <v>174</v>
      </c>
      <c r="D293" s="37" t="s">
        <v>821</v>
      </c>
      <c r="G293" s="37">
        <v>1</v>
      </c>
    </row>
    <row r="294" spans="1:7" x14ac:dyDescent="0.3">
      <c r="A294" s="39" t="s">
        <v>850</v>
      </c>
      <c r="F294" s="37">
        <v>698</v>
      </c>
    </row>
    <row r="295" spans="1:7" x14ac:dyDescent="0.3">
      <c r="A295" s="39" t="s">
        <v>84</v>
      </c>
      <c r="E295" s="37">
        <f>SUM(E4:E293)</f>
        <v>74</v>
      </c>
      <c r="F295" s="37">
        <f>SUM(F4:F294)</f>
        <v>13757</v>
      </c>
    </row>
    <row r="296" spans="1:7" x14ac:dyDescent="0.3">
      <c r="A296" s="39" t="s">
        <v>846</v>
      </c>
      <c r="E296" s="37">
        <f>COUNT(E4:E293)</f>
        <v>42</v>
      </c>
      <c r="F296" s="37">
        <f>COUNT(F4:F293)</f>
        <v>267</v>
      </c>
      <c r="G296" s="37">
        <f>COUNT(G4:G293)</f>
        <v>270</v>
      </c>
    </row>
    <row r="298" spans="1:7" x14ac:dyDescent="0.3">
      <c r="A298" s="66" t="s">
        <v>866</v>
      </c>
    </row>
  </sheetData>
  <hyperlinks>
    <hyperlink ref="A298" location="Innehåll!A1" display="Till innehållsförteckning" xr:uid="{BF17447C-23FA-4612-A733-A83B80F0886A}"/>
  </hyperlink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DB1F5-33A4-4739-BC83-78A240C50B8A}">
  <dimension ref="A1:D23"/>
  <sheetViews>
    <sheetView showGridLines="0" zoomScaleNormal="100" workbookViewId="0">
      <selection activeCell="B8" sqref="B8"/>
    </sheetView>
  </sheetViews>
  <sheetFormatPr defaultRowHeight="12.45" x14ac:dyDescent="0.3"/>
  <cols>
    <col min="2" max="2" width="11.84375" bestFit="1" customWidth="1"/>
    <col min="3" max="3" width="9.3828125" customWidth="1"/>
    <col min="4" max="4" width="11.3828125" customWidth="1"/>
    <col min="5" max="6" width="11.53515625" bestFit="1" customWidth="1"/>
    <col min="7" max="9" width="8" bestFit="1" customWidth="1"/>
    <col min="10" max="10" width="11.53515625" bestFit="1" customWidth="1"/>
  </cols>
  <sheetData>
    <row r="1" spans="1:4" x14ac:dyDescent="0.3">
      <c r="A1" s="45" t="s">
        <v>890</v>
      </c>
    </row>
    <row r="2" spans="1:4" x14ac:dyDescent="0.3">
      <c r="A2" s="5" t="s">
        <v>854</v>
      </c>
    </row>
    <row r="3" spans="1:4" ht="285" customHeight="1" x14ac:dyDescent="0.3"/>
    <row r="4" spans="1:4" x14ac:dyDescent="0.3">
      <c r="A4" s="25" t="s">
        <v>184</v>
      </c>
    </row>
    <row r="6" spans="1:4" x14ac:dyDescent="0.3">
      <c r="A6" s="22" t="s">
        <v>179</v>
      </c>
      <c r="B6" s="22" t="s">
        <v>176</v>
      </c>
      <c r="C6" s="22" t="s">
        <v>153</v>
      </c>
      <c r="D6" s="23" t="s">
        <v>134</v>
      </c>
    </row>
    <row r="7" spans="1:4" x14ac:dyDescent="0.3">
      <c r="A7" s="9">
        <v>2019</v>
      </c>
      <c r="B7" s="41">
        <v>3603989</v>
      </c>
      <c r="C7" s="41">
        <v>744885</v>
      </c>
      <c r="D7" s="41">
        <v>4348874</v>
      </c>
    </row>
    <row r="8" spans="1:4" x14ac:dyDescent="0.3">
      <c r="A8" s="24">
        <v>2020</v>
      </c>
      <c r="B8" s="41">
        <v>954161</v>
      </c>
      <c r="C8" s="41">
        <v>262271</v>
      </c>
      <c r="D8" s="41">
        <v>1216432</v>
      </c>
    </row>
    <row r="10" spans="1:4" x14ac:dyDescent="0.3">
      <c r="A10" s="66" t="s">
        <v>866</v>
      </c>
    </row>
    <row r="23" spans="2:2" x14ac:dyDescent="0.3">
      <c r="B23" s="60"/>
    </row>
  </sheetData>
  <hyperlinks>
    <hyperlink ref="A10" location="Innehåll!A1" display="Till innehållsförteckning" xr:uid="{05822022-1C57-4860-AF71-A52ED7EF5C5D}"/>
  </hyperlinks>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A80F3-B532-4B0C-A483-A12168AB1F1A}">
  <dimension ref="A1:C23"/>
  <sheetViews>
    <sheetView showGridLines="0" workbookViewId="0">
      <selection activeCell="S3" sqref="S3"/>
    </sheetView>
  </sheetViews>
  <sheetFormatPr defaultRowHeight="12.45" x14ac:dyDescent="0.3"/>
  <cols>
    <col min="3" max="3" width="11.69140625" bestFit="1" customWidth="1"/>
    <col min="9" max="9" width="11.53515625" bestFit="1" customWidth="1"/>
  </cols>
  <sheetData>
    <row r="1" spans="1:3" x14ac:dyDescent="0.3">
      <c r="A1" s="45" t="s">
        <v>891</v>
      </c>
    </row>
    <row r="2" spans="1:3" x14ac:dyDescent="0.3">
      <c r="A2" s="5" t="s">
        <v>854</v>
      </c>
    </row>
    <row r="3" spans="1:3" ht="231.75" customHeight="1" x14ac:dyDescent="0.3"/>
    <row r="4" spans="1:3" x14ac:dyDescent="0.3">
      <c r="A4" s="25" t="s">
        <v>205</v>
      </c>
    </row>
    <row r="6" spans="1:3" x14ac:dyDescent="0.3">
      <c r="A6" s="22" t="s">
        <v>180</v>
      </c>
      <c r="B6" s="22" t="s">
        <v>182</v>
      </c>
      <c r="C6" s="22" t="s">
        <v>183</v>
      </c>
    </row>
    <row r="7" spans="1:3" x14ac:dyDescent="0.3">
      <c r="A7" s="9" t="s">
        <v>857</v>
      </c>
      <c r="B7" s="41">
        <v>870068</v>
      </c>
      <c r="C7" s="21">
        <f>Tabell79[[#This Row],[Antal]]/1216432</f>
        <v>0.71526234101043051</v>
      </c>
    </row>
    <row r="8" spans="1:3" x14ac:dyDescent="0.3">
      <c r="A8" s="24" t="s">
        <v>181</v>
      </c>
      <c r="B8" s="41">
        <v>346364</v>
      </c>
      <c r="C8" s="21">
        <f>Tabell79[[#This Row],[Antal]]/1216432</f>
        <v>0.28473765898956949</v>
      </c>
    </row>
    <row r="9" spans="1:3" x14ac:dyDescent="0.3">
      <c r="A9" s="2" t="s">
        <v>134</v>
      </c>
      <c r="B9" s="41">
        <f>B7+B8</f>
        <v>1216432</v>
      </c>
      <c r="C9" s="2"/>
    </row>
    <row r="10" spans="1:3" x14ac:dyDescent="0.3">
      <c r="A10" s="25" t="s">
        <v>858</v>
      </c>
    </row>
    <row r="12" spans="1:3" x14ac:dyDescent="0.3">
      <c r="A12" s="66" t="s">
        <v>866</v>
      </c>
    </row>
    <row r="23" spans="2:2" x14ac:dyDescent="0.3">
      <c r="B23" s="60"/>
    </row>
  </sheetData>
  <hyperlinks>
    <hyperlink ref="A12" location="Innehåll!A1" display="Till innehållsförteckning" xr:uid="{3C9E75D4-3655-4C24-95AC-AC696CF1FD54}"/>
  </hyperlinks>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E0CCE-2163-4ADD-BC23-62D00C3DBFD2}">
  <dimension ref="A1:D23"/>
  <sheetViews>
    <sheetView showGridLines="0" workbookViewId="0">
      <selection activeCell="G37" sqref="G37"/>
    </sheetView>
  </sheetViews>
  <sheetFormatPr defaultRowHeight="12.45" x14ac:dyDescent="0.3"/>
  <cols>
    <col min="1" max="1" width="14.15234375" bestFit="1" customWidth="1"/>
    <col min="2" max="2" width="13.3828125" bestFit="1" customWidth="1"/>
    <col min="3" max="4" width="8.3828125" bestFit="1" customWidth="1"/>
    <col min="5" max="5" width="8.15234375" bestFit="1" customWidth="1"/>
    <col min="6" max="8" width="8" bestFit="1" customWidth="1"/>
  </cols>
  <sheetData>
    <row r="1" spans="1:4" x14ac:dyDescent="0.3">
      <c r="A1" s="45" t="s">
        <v>892</v>
      </c>
    </row>
    <row r="2" spans="1:4" x14ac:dyDescent="0.3">
      <c r="A2" s="5" t="s">
        <v>855</v>
      </c>
    </row>
    <row r="3" spans="1:4" ht="231.75" customHeight="1" x14ac:dyDescent="0.3"/>
    <row r="4" spans="1:4" x14ac:dyDescent="0.3">
      <c r="A4" s="25" t="s">
        <v>184</v>
      </c>
    </row>
    <row r="6" spans="1:4" x14ac:dyDescent="0.3">
      <c r="A6" s="22" t="s">
        <v>179</v>
      </c>
      <c r="B6" s="22" t="s">
        <v>176</v>
      </c>
      <c r="C6" s="22" t="s">
        <v>153</v>
      </c>
      <c r="D6" s="32" t="s">
        <v>134</v>
      </c>
    </row>
    <row r="7" spans="1:4" x14ac:dyDescent="0.3">
      <c r="A7" s="9">
        <v>2019</v>
      </c>
      <c r="B7" s="19">
        <v>19521</v>
      </c>
      <c r="C7" s="19">
        <v>6478</v>
      </c>
      <c r="D7" s="19">
        <f>SUM(Tabell710[[#This Row],[Egen- och samproduktion]:[Gästspel]])</f>
        <v>25999</v>
      </c>
    </row>
    <row r="8" spans="1:4" x14ac:dyDescent="0.3">
      <c r="A8" s="24">
        <v>2020</v>
      </c>
      <c r="B8" s="19">
        <f>9385+624</f>
        <v>10009</v>
      </c>
      <c r="C8" s="19">
        <v>3748</v>
      </c>
      <c r="D8" s="19">
        <f>SUM(Tabell710[[#This Row],[Egen- och samproduktion]:[Gästspel]])</f>
        <v>13757</v>
      </c>
    </row>
    <row r="10" spans="1:4" x14ac:dyDescent="0.3">
      <c r="A10" s="66" t="s">
        <v>866</v>
      </c>
    </row>
    <row r="23" spans="2:2" x14ac:dyDescent="0.3">
      <c r="B23" s="60"/>
    </row>
  </sheetData>
  <hyperlinks>
    <hyperlink ref="A10" location="Innehåll!A1" display="Till innehållsförteckning" xr:uid="{09EE4446-CC0C-48EE-877F-403CDA92A1A3}"/>
  </hyperlink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20</vt:i4>
      </vt:variant>
    </vt:vector>
  </HeadingPairs>
  <TitlesOfParts>
    <vt:vector size="20" baseType="lpstr">
      <vt:lpstr>Innehåll</vt:lpstr>
      <vt:lpstr>Bilaga 1 Scenkonstverksamheter</vt:lpstr>
      <vt:lpstr>T1 Organisation</vt:lpstr>
      <vt:lpstr>T2 Scenkonstområden</vt:lpstr>
      <vt:lpstr>F1 Scenkonst per kommun</vt:lpstr>
      <vt:lpstr>UnderlagF1&amp;F7 per kommun</vt:lpstr>
      <vt:lpstr>F2 Publik 2019 och 2020 </vt:lpstr>
      <vt:lpstr>F3 Publik 2020, varav barn</vt:lpstr>
      <vt:lpstr>F4 Föreställningar 19 20</vt:lpstr>
      <vt:lpstr>F5 Varav barn 2020</vt:lpstr>
      <vt:lpstr>F6 Scenkonstområden 2020</vt:lpstr>
      <vt:lpstr>T3Föreställningar per län 2020</vt:lpstr>
      <vt:lpstr>F7 Föreställningar kommun 2020</vt:lpstr>
      <vt:lpstr>F8 Digitala produktioner 2020</vt:lpstr>
      <vt:lpstr>T4 Digital distribution 19 20</vt:lpstr>
      <vt:lpstr>T5 Övriga aktiviteter 2020</vt:lpstr>
      <vt:lpstr>F9 Ekonomi 2019 och 2020</vt:lpstr>
      <vt:lpstr>F10 Intäkter per intäktsslag</vt:lpstr>
      <vt:lpstr>F11 Kostnader per kostnadsslag</vt:lpstr>
      <vt:lpstr>F12 Årsarbetskrafter 19 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Fredrik Lindström</dc:creator>
  <cp:lastModifiedBy>Marja Janusson</cp:lastModifiedBy>
  <cp:lastPrinted>2021-11-12T12:50:54Z</cp:lastPrinted>
  <dcterms:created xsi:type="dcterms:W3CDTF">2020-06-25T12:12:02Z</dcterms:created>
  <dcterms:modified xsi:type="dcterms:W3CDTF">2022-03-30T12:53:54Z</dcterms:modified>
</cp:coreProperties>
</file>